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wamp65\www\student\qrcode\excel\"/>
    </mc:Choice>
  </mc:AlternateContent>
  <xr:revisionPtr revIDLastSave="0" documentId="8_{81F631A4-C60C-4657-B6CC-F45FD8D5B0D7}" xr6:coauthVersionLast="47" xr6:coauthVersionMax="47" xr10:uidLastSave="{00000000-0000-0000-0000-000000000000}"/>
  <bookViews>
    <workbookView xWindow="-110" yWindow="-110" windowWidth="19420" windowHeight="10420" tabRatio="496" xr2:uid="{00000000-000D-0000-FFFF-FFFF00000000}"/>
  </bookViews>
  <sheets>
    <sheet name="Grille de délibération" sheetId="1" r:id="rId1"/>
    <sheet name="Relevé_S5" sheetId="3" r:id="rId2"/>
    <sheet name="Relevé_S6" sheetId="7" r:id="rId3"/>
    <sheet name="Relevé_AN " sheetId="5" r:id="rId4"/>
  </sheets>
  <definedNames>
    <definedName name="_xlnm.Print_Titles" localSheetId="0">'Grille de délibération'!$5:$8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3" l="1"/>
  <c r="F17" i="5" s="1"/>
  <c r="D30" i="3"/>
  <c r="D29" i="3"/>
  <c r="D28" i="3"/>
  <c r="D27" i="3"/>
  <c r="E26" i="3"/>
  <c r="F16" i="5" s="1"/>
  <c r="C32" i="3"/>
  <c r="C31" i="3"/>
  <c r="C30" i="3"/>
  <c r="C29" i="3"/>
  <c r="C28" i="3"/>
  <c r="D23" i="3"/>
  <c r="D22" i="3"/>
  <c r="E21" i="3"/>
  <c r="F15" i="5" s="1"/>
  <c r="C25" i="3"/>
  <c r="C24" i="3"/>
  <c r="C23" i="3"/>
  <c r="D19" i="3"/>
  <c r="D18" i="3"/>
  <c r="E17" i="3"/>
  <c r="F14" i="5" s="1"/>
  <c r="C20" i="3"/>
  <c r="C19" i="3"/>
  <c r="D15" i="3"/>
  <c r="D14" i="3"/>
  <c r="D13" i="3"/>
  <c r="D12" i="3"/>
  <c r="C16" i="3"/>
  <c r="C15" i="3"/>
  <c r="C14" i="3"/>
  <c r="B30" i="3"/>
  <c r="B29" i="3"/>
  <c r="B28" i="3"/>
  <c r="B27" i="3"/>
  <c r="B23" i="3"/>
  <c r="B22" i="3"/>
  <c r="B19" i="3"/>
  <c r="B18" i="3"/>
  <c r="B14" i="3"/>
  <c r="B15" i="3"/>
  <c r="B16" i="3"/>
  <c r="B13" i="3"/>
  <c r="B12" i="3"/>
  <c r="D35" i="3"/>
  <c r="AC6" i="1"/>
  <c r="AD6" i="1"/>
  <c r="AE6" i="1"/>
  <c r="AF6" i="1"/>
  <c r="O5" i="1"/>
  <c r="T5" i="1" s="1"/>
  <c r="Z5" i="1"/>
  <c r="W6" i="1"/>
  <c r="X6" i="1"/>
  <c r="R6" i="1"/>
  <c r="K6" i="1"/>
  <c r="L6" i="1"/>
  <c r="M6" i="1"/>
  <c r="N6" i="1"/>
  <c r="C29" i="5"/>
  <c r="B11" i="7"/>
  <c r="B23" i="5" s="1"/>
  <c r="B33" i="3"/>
  <c r="B17" i="5" s="1"/>
  <c r="B26" i="3"/>
  <c r="B16" i="5" s="1"/>
  <c r="B21" i="3"/>
  <c r="B15" i="5" s="1"/>
  <c r="D13" i="7"/>
  <c r="D12" i="7"/>
  <c r="D34" i="3"/>
  <c r="D32" i="3"/>
  <c r="D31" i="3"/>
  <c r="D25" i="3"/>
  <c r="D24" i="3"/>
  <c r="D20" i="3"/>
  <c r="B12" i="7"/>
  <c r="A11" i="7"/>
  <c r="A23" i="5" s="1"/>
  <c r="C5" i="7"/>
  <c r="B25" i="3"/>
  <c r="B24" i="3"/>
  <c r="A21" i="3"/>
  <c r="A15" i="5" s="1"/>
  <c r="B34" i="3"/>
  <c r="A33" i="3"/>
  <c r="A17" i="5" s="1"/>
  <c r="B32" i="3"/>
  <c r="B31" i="3"/>
  <c r="A26" i="3"/>
  <c r="A16" i="5" s="1"/>
  <c r="B20" i="3"/>
  <c r="B17" i="3"/>
  <c r="A17" i="3"/>
  <c r="A14" i="5" s="1"/>
  <c r="AO7" i="1"/>
  <c r="AO6" i="1" s="1"/>
  <c r="AP6" i="1"/>
  <c r="P7" i="1"/>
  <c r="P6" i="1" s="1"/>
  <c r="S6" i="1"/>
  <c r="Q6" i="1"/>
  <c r="J6" i="1"/>
  <c r="D16" i="3"/>
  <c r="C9" i="3"/>
  <c r="C8" i="3"/>
  <c r="C7" i="3"/>
  <c r="C6" i="3"/>
  <c r="B11" i="3"/>
  <c r="A11" i="3"/>
  <c r="A13" i="5" s="1"/>
  <c r="U7" i="1"/>
  <c r="U11" i="1" s="1"/>
  <c r="Z11" i="1" s="1"/>
  <c r="AI7" i="1"/>
  <c r="D33" i="3" s="1"/>
  <c r="D17" i="5" s="1"/>
  <c r="AA7" i="1"/>
  <c r="D26" i="3" s="1"/>
  <c r="D16" i="5" s="1"/>
  <c r="I7" i="1"/>
  <c r="I10" i="1" s="1"/>
  <c r="O10" i="1" s="1"/>
  <c r="AR7" i="1" l="1"/>
  <c r="AI42" i="1"/>
  <c r="AK42" i="1" s="1"/>
  <c r="AI26" i="1"/>
  <c r="AK26" i="1" s="1"/>
  <c r="AI10" i="1"/>
  <c r="AK10" i="1" s="1"/>
  <c r="AI38" i="1"/>
  <c r="AK38" i="1" s="1"/>
  <c r="AI22" i="1"/>
  <c r="AK22" i="1" s="1"/>
  <c r="AI9" i="1"/>
  <c r="C34" i="3" s="1"/>
  <c r="AI34" i="1"/>
  <c r="AK34" i="1" s="1"/>
  <c r="AI18" i="1"/>
  <c r="AK18" i="1" s="1"/>
  <c r="AI46" i="1"/>
  <c r="AK46" i="1" s="1"/>
  <c r="AI30" i="1"/>
  <c r="AK30" i="1" s="1"/>
  <c r="AI14" i="1"/>
  <c r="AK14" i="1" s="1"/>
  <c r="AI49" i="1"/>
  <c r="AK49" i="1" s="1"/>
  <c r="AI45" i="1"/>
  <c r="AK45" i="1" s="1"/>
  <c r="AI41" i="1"/>
  <c r="AK41" i="1" s="1"/>
  <c r="AI37" i="1"/>
  <c r="AK37" i="1" s="1"/>
  <c r="AI33" i="1"/>
  <c r="AK33" i="1" s="1"/>
  <c r="AI29" i="1"/>
  <c r="AK29" i="1" s="1"/>
  <c r="AI25" i="1"/>
  <c r="AK25" i="1" s="1"/>
  <c r="AI21" i="1"/>
  <c r="AK21" i="1" s="1"/>
  <c r="AI17" i="1"/>
  <c r="AK17" i="1" s="1"/>
  <c r="AI13" i="1"/>
  <c r="AK13" i="1" s="1"/>
  <c r="AK9" i="1"/>
  <c r="C37" i="3" s="1"/>
  <c r="AI48" i="1"/>
  <c r="AK48" i="1" s="1"/>
  <c r="AI44" i="1"/>
  <c r="AK44" i="1" s="1"/>
  <c r="AI40" i="1"/>
  <c r="AK40" i="1" s="1"/>
  <c r="AI36" i="1"/>
  <c r="AK36" i="1" s="1"/>
  <c r="AI32" i="1"/>
  <c r="AK32" i="1" s="1"/>
  <c r="AI28" i="1"/>
  <c r="AK28" i="1" s="1"/>
  <c r="AI24" i="1"/>
  <c r="AK24" i="1" s="1"/>
  <c r="AI20" i="1"/>
  <c r="AK20" i="1" s="1"/>
  <c r="AI16" i="1"/>
  <c r="AK16" i="1" s="1"/>
  <c r="AI12" i="1"/>
  <c r="AK12" i="1" s="1"/>
  <c r="AI47" i="1"/>
  <c r="AK47" i="1" s="1"/>
  <c r="AI43" i="1"/>
  <c r="AK43" i="1" s="1"/>
  <c r="AI39" i="1"/>
  <c r="AK39" i="1" s="1"/>
  <c r="AI35" i="1"/>
  <c r="AK35" i="1" s="1"/>
  <c r="AI31" i="1"/>
  <c r="AK31" i="1" s="1"/>
  <c r="AI27" i="1"/>
  <c r="AK27" i="1" s="1"/>
  <c r="AI23" i="1"/>
  <c r="AK23" i="1" s="1"/>
  <c r="AI19" i="1"/>
  <c r="AK19" i="1" s="1"/>
  <c r="AI15" i="1"/>
  <c r="AK15" i="1" s="1"/>
  <c r="AI11" i="1"/>
  <c r="AK11" i="1" s="1"/>
  <c r="AL7" i="1"/>
  <c r="AA49" i="1"/>
  <c r="AH49" i="1" s="1"/>
  <c r="AA45" i="1"/>
  <c r="AH45" i="1" s="1"/>
  <c r="AA41" i="1"/>
  <c r="AH41" i="1" s="1"/>
  <c r="AA37" i="1"/>
  <c r="AH37" i="1" s="1"/>
  <c r="AA33" i="1"/>
  <c r="AH33" i="1" s="1"/>
  <c r="AA29" i="1"/>
  <c r="AH29" i="1" s="1"/>
  <c r="AA25" i="1"/>
  <c r="AH25" i="1" s="1"/>
  <c r="AA21" i="1"/>
  <c r="AH21" i="1" s="1"/>
  <c r="AA17" i="1"/>
  <c r="AH17" i="1" s="1"/>
  <c r="AA13" i="1"/>
  <c r="AH13" i="1" s="1"/>
  <c r="AA48" i="1"/>
  <c r="AH48" i="1" s="1"/>
  <c r="AA44" i="1"/>
  <c r="AH44" i="1" s="1"/>
  <c r="AA40" i="1"/>
  <c r="AH40" i="1" s="1"/>
  <c r="AA36" i="1"/>
  <c r="AH36" i="1" s="1"/>
  <c r="AA32" i="1"/>
  <c r="AH32" i="1" s="1"/>
  <c r="AA28" i="1"/>
  <c r="AH28" i="1" s="1"/>
  <c r="AA24" i="1"/>
  <c r="AH24" i="1" s="1"/>
  <c r="AA20" i="1"/>
  <c r="AH20" i="1" s="1"/>
  <c r="AA16" i="1"/>
  <c r="AH16" i="1" s="1"/>
  <c r="AA12" i="1"/>
  <c r="AH12" i="1" s="1"/>
  <c r="AA47" i="1"/>
  <c r="AH47" i="1" s="1"/>
  <c r="AA43" i="1"/>
  <c r="AH43" i="1" s="1"/>
  <c r="AA39" i="1"/>
  <c r="AH39" i="1" s="1"/>
  <c r="AA35" i="1"/>
  <c r="AH35" i="1" s="1"/>
  <c r="AA31" i="1"/>
  <c r="AH31" i="1" s="1"/>
  <c r="AA27" i="1"/>
  <c r="AH27" i="1" s="1"/>
  <c r="AA23" i="1"/>
  <c r="AH23" i="1" s="1"/>
  <c r="AA19" i="1"/>
  <c r="AH19" i="1" s="1"/>
  <c r="AA15" i="1"/>
  <c r="AH15" i="1" s="1"/>
  <c r="AA11" i="1"/>
  <c r="AH11" i="1" s="1"/>
  <c r="AA9" i="1"/>
  <c r="AA46" i="1"/>
  <c r="AH46" i="1" s="1"/>
  <c r="AA42" i="1"/>
  <c r="AH42" i="1" s="1"/>
  <c r="AA38" i="1"/>
  <c r="AH38" i="1" s="1"/>
  <c r="AA34" i="1"/>
  <c r="AH34" i="1" s="1"/>
  <c r="AA30" i="1"/>
  <c r="AH30" i="1" s="1"/>
  <c r="AA26" i="1"/>
  <c r="AH26" i="1" s="1"/>
  <c r="AA22" i="1"/>
  <c r="AH22" i="1" s="1"/>
  <c r="AA18" i="1"/>
  <c r="AH18" i="1" s="1"/>
  <c r="AA14" i="1"/>
  <c r="AH14" i="1" s="1"/>
  <c r="AA10" i="1"/>
  <c r="AH10" i="1" s="1"/>
  <c r="U48" i="1"/>
  <c r="Z48" i="1" s="1"/>
  <c r="U44" i="1"/>
  <c r="Z44" i="1" s="1"/>
  <c r="U40" i="1"/>
  <c r="Z40" i="1" s="1"/>
  <c r="U36" i="1"/>
  <c r="Z36" i="1" s="1"/>
  <c r="U32" i="1"/>
  <c r="Z32" i="1" s="1"/>
  <c r="U28" i="1"/>
  <c r="Z28" i="1" s="1"/>
  <c r="U24" i="1"/>
  <c r="Z24" i="1" s="1"/>
  <c r="U20" i="1"/>
  <c r="Z20" i="1" s="1"/>
  <c r="U16" i="1"/>
  <c r="Z16" i="1" s="1"/>
  <c r="U12" i="1"/>
  <c r="Z12" i="1" s="1"/>
  <c r="U47" i="1"/>
  <c r="Z47" i="1" s="1"/>
  <c r="U43" i="1"/>
  <c r="Z43" i="1" s="1"/>
  <c r="U39" i="1"/>
  <c r="Z39" i="1" s="1"/>
  <c r="U35" i="1"/>
  <c r="Z35" i="1" s="1"/>
  <c r="U31" i="1"/>
  <c r="Z31" i="1" s="1"/>
  <c r="U27" i="1"/>
  <c r="Z27" i="1" s="1"/>
  <c r="U23" i="1"/>
  <c r="Z23" i="1" s="1"/>
  <c r="U19" i="1"/>
  <c r="Z19" i="1" s="1"/>
  <c r="U15" i="1"/>
  <c r="Z15" i="1" s="1"/>
  <c r="U9" i="1"/>
  <c r="U46" i="1"/>
  <c r="Z46" i="1" s="1"/>
  <c r="U42" i="1"/>
  <c r="Z42" i="1" s="1"/>
  <c r="U38" i="1"/>
  <c r="Z38" i="1" s="1"/>
  <c r="U34" i="1"/>
  <c r="Z34" i="1" s="1"/>
  <c r="U30" i="1"/>
  <c r="Z30" i="1" s="1"/>
  <c r="U26" i="1"/>
  <c r="Z26" i="1" s="1"/>
  <c r="U22" i="1"/>
  <c r="Z22" i="1" s="1"/>
  <c r="U18" i="1"/>
  <c r="Z18" i="1" s="1"/>
  <c r="U14" i="1"/>
  <c r="Z14" i="1" s="1"/>
  <c r="U10" i="1"/>
  <c r="Z10" i="1" s="1"/>
  <c r="U49" i="1"/>
  <c r="Z49" i="1" s="1"/>
  <c r="U45" i="1"/>
  <c r="Z45" i="1" s="1"/>
  <c r="U41" i="1"/>
  <c r="Z41" i="1" s="1"/>
  <c r="U37" i="1"/>
  <c r="Z37" i="1" s="1"/>
  <c r="U33" i="1"/>
  <c r="Z33" i="1" s="1"/>
  <c r="U29" i="1"/>
  <c r="Z29" i="1" s="1"/>
  <c r="U25" i="1"/>
  <c r="Z25" i="1" s="1"/>
  <c r="U21" i="1"/>
  <c r="Z21" i="1" s="1"/>
  <c r="U17" i="1"/>
  <c r="Z17" i="1" s="1"/>
  <c r="U13" i="1"/>
  <c r="Z13" i="1" s="1"/>
  <c r="P49" i="1"/>
  <c r="P45" i="1"/>
  <c r="P41" i="1"/>
  <c r="P37" i="1"/>
  <c r="P33" i="1"/>
  <c r="P29" i="1"/>
  <c r="P25" i="1"/>
  <c r="P21" i="1"/>
  <c r="P17" i="1"/>
  <c r="P13" i="1"/>
  <c r="P48" i="1"/>
  <c r="P44" i="1"/>
  <c r="P40" i="1"/>
  <c r="P36" i="1"/>
  <c r="P32" i="1"/>
  <c r="P28" i="1"/>
  <c r="P24" i="1"/>
  <c r="P20" i="1"/>
  <c r="P16" i="1"/>
  <c r="P12" i="1"/>
  <c r="P47" i="1"/>
  <c r="P43" i="1"/>
  <c r="P39" i="1"/>
  <c r="P35" i="1"/>
  <c r="P31" i="1"/>
  <c r="P27" i="1"/>
  <c r="P23" i="1"/>
  <c r="P19" i="1"/>
  <c r="P15" i="1"/>
  <c r="P11" i="1"/>
  <c r="P9" i="1"/>
  <c r="C18" i="3" s="1"/>
  <c r="P46" i="1"/>
  <c r="P42" i="1"/>
  <c r="P38" i="1"/>
  <c r="P34" i="1"/>
  <c r="P30" i="1"/>
  <c r="P26" i="1"/>
  <c r="P22" i="1"/>
  <c r="P18" i="1"/>
  <c r="P14" i="1"/>
  <c r="P10" i="1"/>
  <c r="I45" i="1"/>
  <c r="O45" i="1" s="1"/>
  <c r="I37" i="1"/>
  <c r="O37" i="1" s="1"/>
  <c r="I29" i="1"/>
  <c r="O29" i="1" s="1"/>
  <c r="I25" i="1"/>
  <c r="O25" i="1" s="1"/>
  <c r="I21" i="1"/>
  <c r="O21" i="1" s="1"/>
  <c r="I13" i="1"/>
  <c r="O13" i="1" s="1"/>
  <c r="I48" i="1"/>
  <c r="O48" i="1" s="1"/>
  <c r="I44" i="1"/>
  <c r="O44" i="1" s="1"/>
  <c r="I40" i="1"/>
  <c r="O40" i="1" s="1"/>
  <c r="I36" i="1"/>
  <c r="O36" i="1" s="1"/>
  <c r="I32" i="1"/>
  <c r="O32" i="1" s="1"/>
  <c r="I28" i="1"/>
  <c r="O28" i="1" s="1"/>
  <c r="I24" i="1"/>
  <c r="O24" i="1" s="1"/>
  <c r="I20" i="1"/>
  <c r="O20" i="1" s="1"/>
  <c r="I16" i="1"/>
  <c r="O16" i="1" s="1"/>
  <c r="I12" i="1"/>
  <c r="O12" i="1" s="1"/>
  <c r="I41" i="1"/>
  <c r="O41" i="1" s="1"/>
  <c r="I17" i="1"/>
  <c r="O17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O15" i="1" s="1"/>
  <c r="I11" i="1"/>
  <c r="O11" i="1" s="1"/>
  <c r="I49" i="1"/>
  <c r="O49" i="1" s="1"/>
  <c r="I33" i="1"/>
  <c r="O33" i="1" s="1"/>
  <c r="I9" i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AO48" i="1"/>
  <c r="AO44" i="1"/>
  <c r="AO40" i="1"/>
  <c r="AO36" i="1"/>
  <c r="AO32" i="1"/>
  <c r="AO28" i="1"/>
  <c r="AO24" i="1"/>
  <c r="AO20" i="1"/>
  <c r="AO16" i="1"/>
  <c r="AO12" i="1"/>
  <c r="D11" i="7"/>
  <c r="D23" i="5" s="1"/>
  <c r="AO47" i="1"/>
  <c r="AO43" i="1"/>
  <c r="AO39" i="1"/>
  <c r="AO35" i="1"/>
  <c r="AO31" i="1"/>
  <c r="AO27" i="1"/>
  <c r="AO23" i="1"/>
  <c r="AO19" i="1"/>
  <c r="AO15" i="1"/>
  <c r="AO11" i="1"/>
  <c r="AR6" i="1"/>
  <c r="AO9" i="1"/>
  <c r="AQ9" i="1" s="1"/>
  <c r="AS9" i="1" s="1"/>
  <c r="AO46" i="1"/>
  <c r="AO42" i="1"/>
  <c r="AO38" i="1"/>
  <c r="AO34" i="1"/>
  <c r="AO30" i="1"/>
  <c r="AO26" i="1"/>
  <c r="AO22" i="1"/>
  <c r="AO18" i="1"/>
  <c r="AO14" i="1"/>
  <c r="AO10" i="1"/>
  <c r="AO49" i="1"/>
  <c r="AO45" i="1"/>
  <c r="AO41" i="1"/>
  <c r="AO37" i="1"/>
  <c r="AO33" i="1"/>
  <c r="AO29" i="1"/>
  <c r="AO25" i="1"/>
  <c r="AO21" i="1"/>
  <c r="AO17" i="1"/>
  <c r="AO13" i="1"/>
  <c r="D21" i="3"/>
  <c r="D15" i="5" s="1"/>
  <c r="D17" i="3"/>
  <c r="AL6" i="1"/>
  <c r="D11" i="3"/>
  <c r="AQ37" i="1" l="1"/>
  <c r="AS37" i="1" s="1"/>
  <c r="AR37" i="1"/>
  <c r="AQ42" i="1"/>
  <c r="AS42" i="1" s="1"/>
  <c r="AR42" i="1"/>
  <c r="AQ43" i="1"/>
  <c r="AS43" i="1" s="1"/>
  <c r="AR43" i="1"/>
  <c r="AQ41" i="1"/>
  <c r="AS41" i="1" s="1"/>
  <c r="AR41" i="1"/>
  <c r="AQ30" i="1"/>
  <c r="AS30" i="1" s="1"/>
  <c r="AR30" i="1"/>
  <c r="AQ15" i="1"/>
  <c r="AS15" i="1" s="1"/>
  <c r="AR15" i="1"/>
  <c r="AQ21" i="1"/>
  <c r="AS21" i="1" s="1"/>
  <c r="AR21" i="1"/>
  <c r="AQ26" i="1"/>
  <c r="AS26" i="1" s="1"/>
  <c r="AR26" i="1"/>
  <c r="AQ27" i="1"/>
  <c r="AS27" i="1" s="1"/>
  <c r="AR27" i="1"/>
  <c r="AQ32" i="1"/>
  <c r="AS32" i="1" s="1"/>
  <c r="AR32" i="1"/>
  <c r="AQ48" i="1"/>
  <c r="AS48" i="1" s="1"/>
  <c r="AR48" i="1"/>
  <c r="AQ25" i="1"/>
  <c r="AS25" i="1" s="1"/>
  <c r="AR25" i="1"/>
  <c r="AQ14" i="1"/>
  <c r="AS14" i="1" s="1"/>
  <c r="AR14" i="1"/>
  <c r="AQ46" i="1"/>
  <c r="AS46" i="1" s="1"/>
  <c r="AR46" i="1"/>
  <c r="AQ31" i="1"/>
  <c r="AS31" i="1" s="1"/>
  <c r="AR31" i="1"/>
  <c r="AQ47" i="1"/>
  <c r="AS47" i="1" s="1"/>
  <c r="AR47" i="1"/>
  <c r="AQ36" i="1"/>
  <c r="AS36" i="1" s="1"/>
  <c r="AR36" i="1"/>
  <c r="AQ35" i="1"/>
  <c r="AS35" i="1" s="1"/>
  <c r="AR35" i="1"/>
  <c r="C12" i="7"/>
  <c r="AQ10" i="1"/>
  <c r="AS10" i="1" s="1"/>
  <c r="AR10" i="1"/>
  <c r="AQ11" i="1"/>
  <c r="AS11" i="1" s="1"/>
  <c r="AR11" i="1"/>
  <c r="AQ16" i="1"/>
  <c r="AS16" i="1" s="1"/>
  <c r="AR16" i="1"/>
  <c r="AQ20" i="1"/>
  <c r="AS20" i="1" s="1"/>
  <c r="AR20" i="1"/>
  <c r="AQ13" i="1"/>
  <c r="AS13" i="1" s="1"/>
  <c r="AR13" i="1"/>
  <c r="AQ29" i="1"/>
  <c r="AS29" i="1" s="1"/>
  <c r="AR29" i="1"/>
  <c r="AQ45" i="1"/>
  <c r="AS45" i="1" s="1"/>
  <c r="AR45" i="1"/>
  <c r="AQ18" i="1"/>
  <c r="AS18" i="1" s="1"/>
  <c r="AR18" i="1"/>
  <c r="AQ34" i="1"/>
  <c r="AS34" i="1" s="1"/>
  <c r="AR34" i="1"/>
  <c r="AQ19" i="1"/>
  <c r="AS19" i="1" s="1"/>
  <c r="AR19" i="1"/>
  <c r="AQ24" i="1"/>
  <c r="AS24" i="1" s="1"/>
  <c r="AR24" i="1"/>
  <c r="AQ40" i="1"/>
  <c r="AS40" i="1" s="1"/>
  <c r="AR40" i="1"/>
  <c r="AQ17" i="1"/>
  <c r="AS17" i="1" s="1"/>
  <c r="AR17" i="1"/>
  <c r="AQ33" i="1"/>
  <c r="AS33" i="1" s="1"/>
  <c r="AR33" i="1"/>
  <c r="AQ49" i="1"/>
  <c r="AS49" i="1" s="1"/>
  <c r="AR49" i="1"/>
  <c r="AQ22" i="1"/>
  <c r="AS22" i="1" s="1"/>
  <c r="AR22" i="1"/>
  <c r="AQ38" i="1"/>
  <c r="AS38" i="1" s="1"/>
  <c r="AR38" i="1"/>
  <c r="AT6" i="1"/>
  <c r="AQ23" i="1"/>
  <c r="AS23" i="1" s="1"/>
  <c r="AR23" i="1"/>
  <c r="AQ39" i="1"/>
  <c r="AS39" i="1" s="1"/>
  <c r="AR39" i="1"/>
  <c r="AQ12" i="1"/>
  <c r="AS12" i="1" s="1"/>
  <c r="AR12" i="1"/>
  <c r="AQ28" i="1"/>
  <c r="AS28" i="1" s="1"/>
  <c r="AR28" i="1"/>
  <c r="AQ44" i="1"/>
  <c r="AS44" i="1" s="1"/>
  <c r="AR44" i="1"/>
  <c r="Z9" i="1"/>
  <c r="C26" i="3" s="1"/>
  <c r="F26" i="3" s="1"/>
  <c r="G16" i="5" s="1"/>
  <c r="C22" i="3"/>
  <c r="AH9" i="1"/>
  <c r="C33" i="3" s="1"/>
  <c r="C27" i="3"/>
  <c r="O9" i="1"/>
  <c r="C13" i="3"/>
  <c r="C12" i="3"/>
  <c r="AR9" i="1"/>
  <c r="C15" i="7" s="1"/>
  <c r="C11" i="7"/>
  <c r="T22" i="1"/>
  <c r="AM22" i="1" s="1"/>
  <c r="AL22" i="1"/>
  <c r="T38" i="1"/>
  <c r="AM38" i="1" s="1"/>
  <c r="AL38" i="1"/>
  <c r="T11" i="1"/>
  <c r="AM11" i="1" s="1"/>
  <c r="AL11" i="1"/>
  <c r="T27" i="1"/>
  <c r="AM27" i="1" s="1"/>
  <c r="AL27" i="1"/>
  <c r="T43" i="1"/>
  <c r="AM43" i="1" s="1"/>
  <c r="AL43" i="1"/>
  <c r="T20" i="1"/>
  <c r="AM20" i="1" s="1"/>
  <c r="AL20" i="1"/>
  <c r="T36" i="1"/>
  <c r="AM36" i="1" s="1"/>
  <c r="AL36" i="1"/>
  <c r="T13" i="1"/>
  <c r="AM13" i="1" s="1"/>
  <c r="AL13" i="1"/>
  <c r="T29" i="1"/>
  <c r="AM29" i="1" s="1"/>
  <c r="AL29" i="1"/>
  <c r="T45" i="1"/>
  <c r="AM45" i="1" s="1"/>
  <c r="AL45" i="1"/>
  <c r="T18" i="1"/>
  <c r="AM18" i="1" s="1"/>
  <c r="AL18" i="1"/>
  <c r="T34" i="1"/>
  <c r="AM34" i="1" s="1"/>
  <c r="AL34" i="1"/>
  <c r="T9" i="1"/>
  <c r="AL9" i="1"/>
  <c r="T23" i="1"/>
  <c r="AM23" i="1" s="1"/>
  <c r="AL23" i="1"/>
  <c r="T39" i="1"/>
  <c r="AM39" i="1" s="1"/>
  <c r="AL39" i="1"/>
  <c r="T16" i="1"/>
  <c r="AM16" i="1" s="1"/>
  <c r="AL16" i="1"/>
  <c r="T32" i="1"/>
  <c r="AM32" i="1" s="1"/>
  <c r="AL32" i="1"/>
  <c r="T48" i="1"/>
  <c r="AM48" i="1" s="1"/>
  <c r="AL48" i="1"/>
  <c r="T25" i="1"/>
  <c r="AM25" i="1" s="1"/>
  <c r="AL25" i="1"/>
  <c r="T41" i="1"/>
  <c r="AM41" i="1" s="1"/>
  <c r="AL41" i="1"/>
  <c r="T10" i="1"/>
  <c r="AM10" i="1" s="1"/>
  <c r="AL10" i="1"/>
  <c r="T26" i="1"/>
  <c r="AM26" i="1" s="1"/>
  <c r="AL26" i="1"/>
  <c r="T42" i="1"/>
  <c r="AL42" i="1"/>
  <c r="T15" i="1"/>
  <c r="AM15" i="1" s="1"/>
  <c r="AL15" i="1"/>
  <c r="T31" i="1"/>
  <c r="AM31" i="1" s="1"/>
  <c r="AL31" i="1"/>
  <c r="T47" i="1"/>
  <c r="AL47" i="1"/>
  <c r="T24" i="1"/>
  <c r="AM24" i="1" s="1"/>
  <c r="AL24" i="1"/>
  <c r="T40" i="1"/>
  <c r="AM40" i="1" s="1"/>
  <c r="AL40" i="1"/>
  <c r="T17" i="1"/>
  <c r="AM17" i="1" s="1"/>
  <c r="AL17" i="1"/>
  <c r="T33" i="1"/>
  <c r="AM33" i="1" s="1"/>
  <c r="AL33" i="1"/>
  <c r="T49" i="1"/>
  <c r="AM49" i="1" s="1"/>
  <c r="AL49" i="1"/>
  <c r="T14" i="1"/>
  <c r="AM14" i="1" s="1"/>
  <c r="AL14" i="1"/>
  <c r="T30" i="1"/>
  <c r="AM30" i="1" s="1"/>
  <c r="AL30" i="1"/>
  <c r="T46" i="1"/>
  <c r="AM46" i="1" s="1"/>
  <c r="AL46" i="1"/>
  <c r="T19" i="1"/>
  <c r="AM19" i="1" s="1"/>
  <c r="AL19" i="1"/>
  <c r="T35" i="1"/>
  <c r="AM35" i="1" s="1"/>
  <c r="AL35" i="1"/>
  <c r="T12" i="1"/>
  <c r="AM12" i="1" s="1"/>
  <c r="AL12" i="1"/>
  <c r="T28" i="1"/>
  <c r="AM28" i="1" s="1"/>
  <c r="AL28" i="1"/>
  <c r="T44" i="1"/>
  <c r="AM44" i="1" s="1"/>
  <c r="AL44" i="1"/>
  <c r="T21" i="1"/>
  <c r="AM21" i="1" s="1"/>
  <c r="AL21" i="1"/>
  <c r="T37" i="1"/>
  <c r="AM37" i="1" s="1"/>
  <c r="AL37" i="1"/>
  <c r="AM47" i="1"/>
  <c r="AM42" i="1"/>
  <c r="C11" i="3"/>
  <c r="AM9" i="1" l="1"/>
  <c r="C21" i="3"/>
  <c r="E11" i="3"/>
  <c r="C17" i="3"/>
  <c r="E11" i="7"/>
  <c r="E13" i="7" s="1"/>
  <c r="F15" i="7" s="1"/>
  <c r="C17" i="5"/>
  <c r="C16" i="5"/>
  <c r="E16" i="5" s="1"/>
  <c r="F11" i="7"/>
  <c r="A17" i="7" s="1"/>
  <c r="F33" i="3"/>
  <c r="G17" i="5" s="1"/>
  <c r="F13" i="5" l="1"/>
  <c r="F18" i="5" s="1"/>
  <c r="E35" i="3"/>
  <c r="F37" i="3" s="1"/>
  <c r="G19" i="5" s="1"/>
  <c r="G23" i="5"/>
  <c r="AW9" i="1"/>
  <c r="C15" i="5"/>
  <c r="E15" i="5" s="1"/>
  <c r="F21" i="3"/>
  <c r="G15" i="5" s="1"/>
  <c r="AW33" i="1"/>
  <c r="AV33" i="1" s="1"/>
  <c r="AW44" i="1"/>
  <c r="AV44" i="1" s="1"/>
  <c r="AW40" i="1"/>
  <c r="AV40" i="1" s="1"/>
  <c r="AW30" i="1"/>
  <c r="AV30" i="1" s="1"/>
  <c r="AW23" i="1"/>
  <c r="AV23" i="1" s="1"/>
  <c r="AW29" i="1"/>
  <c r="AV29" i="1" s="1"/>
  <c r="AW45" i="1"/>
  <c r="AV45" i="1" s="1"/>
  <c r="AW35" i="1"/>
  <c r="AV35" i="1" s="1"/>
  <c r="AW14" i="1"/>
  <c r="AV14" i="1" s="1"/>
  <c r="AW21" i="1"/>
  <c r="AV21" i="1" s="1"/>
  <c r="AW20" i="1"/>
  <c r="AV20" i="1" s="1"/>
  <c r="AW41" i="1"/>
  <c r="AV41" i="1" s="1"/>
  <c r="AW39" i="1"/>
  <c r="AV39" i="1" s="1"/>
  <c r="AW42" i="1"/>
  <c r="AV42" i="1" s="1"/>
  <c r="AW31" i="1"/>
  <c r="AV31" i="1" s="1"/>
  <c r="AW13" i="1"/>
  <c r="AV13" i="1" s="1"/>
  <c r="AW43" i="1"/>
  <c r="AV43" i="1" s="1"/>
  <c r="AW26" i="1"/>
  <c r="AV26" i="1" s="1"/>
  <c r="AW28" i="1"/>
  <c r="AV28" i="1" s="1"/>
  <c r="AW46" i="1"/>
  <c r="AV46" i="1" s="1"/>
  <c r="AW27" i="1"/>
  <c r="AV27" i="1" s="1"/>
  <c r="AW48" i="1"/>
  <c r="AV48" i="1" s="1"/>
  <c r="AW36" i="1"/>
  <c r="AV36" i="1" s="1"/>
  <c r="AW16" i="1"/>
  <c r="AV16" i="1" s="1"/>
  <c r="AW34" i="1"/>
  <c r="AV34" i="1" s="1"/>
  <c r="AW47" i="1"/>
  <c r="AV47" i="1" s="1"/>
  <c r="AW15" i="1"/>
  <c r="AV15" i="1" s="1"/>
  <c r="AW37" i="1"/>
  <c r="AV37" i="1" s="1"/>
  <c r="AW49" i="1"/>
  <c r="AV49" i="1" s="1"/>
  <c r="AW38" i="1"/>
  <c r="AV38" i="1" s="1"/>
  <c r="AW32" i="1"/>
  <c r="AV32" i="1" s="1"/>
  <c r="AW22" i="1"/>
  <c r="AV22" i="1" s="1"/>
  <c r="AW25" i="1"/>
  <c r="AV25" i="1" s="1"/>
  <c r="AW17" i="1"/>
  <c r="AV17" i="1" s="1"/>
  <c r="AW24" i="1"/>
  <c r="AV24" i="1" s="1"/>
  <c r="AW19" i="1"/>
  <c r="AV19" i="1" s="1"/>
  <c r="AW18" i="1"/>
  <c r="AV18" i="1" s="1"/>
  <c r="AV9" i="1" l="1"/>
  <c r="AW10" i="1"/>
  <c r="AV10" i="1" s="1"/>
  <c r="AW12" i="1"/>
  <c r="AV12" i="1" s="1"/>
  <c r="AW11" i="1"/>
  <c r="AV11" i="1" s="1"/>
  <c r="D36" i="5"/>
  <c r="C5" i="5"/>
  <c r="A3" i="5"/>
  <c r="A2" i="5"/>
  <c r="B13" i="5"/>
  <c r="D19" i="7"/>
  <c r="A3" i="7"/>
  <c r="A2" i="7"/>
  <c r="D41" i="3"/>
  <c r="A3" i="3"/>
  <c r="A2" i="3"/>
  <c r="C23" i="5" l="1"/>
  <c r="C25" i="5" s="1"/>
  <c r="F23" i="5"/>
  <c r="F24" i="5" s="1"/>
  <c r="C9" i="5"/>
  <c r="C6" i="5"/>
  <c r="C8" i="5"/>
  <c r="C7" i="5"/>
  <c r="C6" i="7"/>
  <c r="C8" i="7"/>
  <c r="C9" i="7"/>
  <c r="C7" i="7"/>
  <c r="D14" i="5"/>
  <c r="B14" i="5"/>
  <c r="D13" i="5" l="1"/>
  <c r="C14" i="5" l="1"/>
  <c r="F17" i="3" l="1"/>
  <c r="G14" i="5" s="1"/>
  <c r="E14" i="5" l="1"/>
  <c r="C13" i="5" l="1"/>
  <c r="C19" i="5" s="1"/>
  <c r="AT7" i="1"/>
  <c r="AT9" i="1" s="1"/>
  <c r="AU9" i="1" s="1"/>
  <c r="I6" i="1"/>
  <c r="U6" i="1"/>
  <c r="V6" i="1"/>
  <c r="Y6" i="1"/>
  <c r="AA6" i="1"/>
  <c r="AB6" i="1"/>
  <c r="AG6" i="1"/>
  <c r="AI6" i="1"/>
  <c r="AJ6" i="1"/>
  <c r="AX9" i="1" l="1"/>
  <c r="AT10" i="1"/>
  <c r="E13" i="5"/>
  <c r="AT18" i="1"/>
  <c r="AT24" i="1"/>
  <c r="AT41" i="1"/>
  <c r="AT38" i="1"/>
  <c r="AT19" i="1"/>
  <c r="AT29" i="1"/>
  <c r="AT26" i="1"/>
  <c r="AT34" i="1"/>
  <c r="AT21" i="1"/>
  <c r="AT47" i="1"/>
  <c r="AT13" i="1"/>
  <c r="AT30" i="1"/>
  <c r="AT15" i="1"/>
  <c r="AT27" i="1"/>
  <c r="AT37" i="1"/>
  <c r="AT33" i="1"/>
  <c r="AT14" i="1"/>
  <c r="AT36" i="1"/>
  <c r="AT48" i="1"/>
  <c r="AT25" i="1"/>
  <c r="AT44" i="1"/>
  <c r="AT43" i="1"/>
  <c r="AT20" i="1"/>
  <c r="AT31" i="1"/>
  <c r="AT23" i="1"/>
  <c r="AT46" i="1"/>
  <c r="AT42" i="1"/>
  <c r="AT35" i="1"/>
  <c r="AT45" i="1"/>
  <c r="AT39" i="1"/>
  <c r="AT32" i="1"/>
  <c r="AT16" i="1"/>
  <c r="AT22" i="1"/>
  <c r="AT28" i="1"/>
  <c r="AT49" i="1"/>
  <c r="AT40" i="1"/>
  <c r="AT17" i="1"/>
  <c r="AT11" i="1"/>
  <c r="AX11" i="1" s="1"/>
  <c r="AY11" i="1" s="1"/>
  <c r="AT12" i="1"/>
  <c r="AX12" i="1" s="1"/>
  <c r="AY12" i="1" s="1"/>
  <c r="E17" i="5"/>
  <c r="E23" i="5"/>
  <c r="E24" i="5" s="1"/>
  <c r="F11" i="3"/>
  <c r="A39" i="3" s="1"/>
  <c r="G13" i="5" l="1"/>
  <c r="AX10" i="1"/>
  <c r="AY10" i="1" s="1"/>
  <c r="AU10" i="1"/>
  <c r="AY9" i="1"/>
  <c r="AU43" i="1"/>
  <c r="AU17" i="1"/>
  <c r="AX17" i="1"/>
  <c r="AY17" i="1" s="1"/>
  <c r="AU28" i="1"/>
  <c r="AX28" i="1"/>
  <c r="AY28" i="1" s="1"/>
  <c r="AU45" i="1"/>
  <c r="AX45" i="1"/>
  <c r="AY45" i="1" s="1"/>
  <c r="AU25" i="1"/>
  <c r="AX25" i="1"/>
  <c r="AY25" i="1" s="1"/>
  <c r="AU36" i="1"/>
  <c r="AX36" i="1"/>
  <c r="AY36" i="1" s="1"/>
  <c r="AU33" i="1"/>
  <c r="AX33" i="1"/>
  <c r="AY33" i="1" s="1"/>
  <c r="AU21" i="1"/>
  <c r="AX21" i="1"/>
  <c r="AY21" i="1" s="1"/>
  <c r="AU29" i="1"/>
  <c r="AX29" i="1"/>
  <c r="AY29" i="1" s="1"/>
  <c r="AU41" i="1"/>
  <c r="AX41" i="1"/>
  <c r="AY41" i="1" s="1"/>
  <c r="AU22" i="1"/>
  <c r="AX22" i="1"/>
  <c r="AY22" i="1" s="1"/>
  <c r="AU16" i="1"/>
  <c r="AX16" i="1"/>
  <c r="AY16" i="1" s="1"/>
  <c r="AU35" i="1"/>
  <c r="AX35" i="1"/>
  <c r="AY35" i="1" s="1"/>
  <c r="AU23" i="1"/>
  <c r="AX23" i="1"/>
  <c r="AY23" i="1" s="1"/>
  <c r="AU37" i="1"/>
  <c r="AX37" i="1"/>
  <c r="AY37" i="1" s="1"/>
  <c r="AU13" i="1"/>
  <c r="AX13" i="1"/>
  <c r="AY13" i="1" s="1"/>
  <c r="AU19" i="1"/>
  <c r="AX19" i="1"/>
  <c r="AY19" i="1" s="1"/>
  <c r="AU24" i="1"/>
  <c r="AX24" i="1"/>
  <c r="AY24" i="1" s="1"/>
  <c r="AU40" i="1"/>
  <c r="AX40" i="1"/>
  <c r="AY40" i="1" s="1"/>
  <c r="AU32" i="1"/>
  <c r="AX32" i="1"/>
  <c r="AY32" i="1" s="1"/>
  <c r="AU42" i="1"/>
  <c r="AX42" i="1"/>
  <c r="AY42" i="1" s="1"/>
  <c r="AX43" i="1"/>
  <c r="AY43" i="1" s="1"/>
  <c r="AU48" i="1"/>
  <c r="AX48" i="1"/>
  <c r="AY48" i="1" s="1"/>
  <c r="AU14" i="1"/>
  <c r="AX14" i="1"/>
  <c r="AY14" i="1" s="1"/>
  <c r="AU27" i="1"/>
  <c r="AX27" i="1"/>
  <c r="AY27" i="1" s="1"/>
  <c r="AU30" i="1"/>
  <c r="AX30" i="1"/>
  <c r="AY30" i="1" s="1"/>
  <c r="AU47" i="1"/>
  <c r="AX47" i="1"/>
  <c r="AY47" i="1" s="1"/>
  <c r="AU34" i="1"/>
  <c r="AX34" i="1"/>
  <c r="AY34" i="1" s="1"/>
  <c r="AU38" i="1"/>
  <c r="AX38" i="1"/>
  <c r="AY38" i="1" s="1"/>
  <c r="AU18" i="1"/>
  <c r="AX18" i="1"/>
  <c r="AY18" i="1" s="1"/>
  <c r="AU49" i="1"/>
  <c r="AX49" i="1"/>
  <c r="AY49" i="1" s="1"/>
  <c r="AU39" i="1"/>
  <c r="AX39" i="1"/>
  <c r="AY39" i="1" s="1"/>
  <c r="AU46" i="1"/>
  <c r="AX46" i="1"/>
  <c r="AY46" i="1" s="1"/>
  <c r="AU31" i="1"/>
  <c r="AX31" i="1"/>
  <c r="AY31" i="1" s="1"/>
  <c r="AU20" i="1"/>
  <c r="AX20" i="1"/>
  <c r="AY20" i="1" s="1"/>
  <c r="AU44" i="1"/>
  <c r="AX44" i="1"/>
  <c r="AY44" i="1" s="1"/>
  <c r="AU15" i="1"/>
  <c r="AX15" i="1"/>
  <c r="AY15" i="1" s="1"/>
  <c r="AU26" i="1"/>
  <c r="AX26" i="1"/>
  <c r="AY26" i="1" s="1"/>
  <c r="AU12" i="1"/>
  <c r="AU11" i="1"/>
  <c r="E18" i="5"/>
  <c r="C30" i="5" l="1"/>
  <c r="G25" i="5"/>
  <c r="C28" i="5" l="1"/>
  <c r="A33" i="5" s="1"/>
</calcChain>
</file>

<file path=xl/sharedStrings.xml><?xml version="1.0" encoding="utf-8"?>
<sst xmlns="http://schemas.openxmlformats.org/spreadsheetml/2006/main" count="268" uniqueCount="213">
  <si>
    <t>INSTITUT SUPERIEUR DE STATISTIQUE DE KINSHASA</t>
  </si>
  <si>
    <t>N°</t>
  </si>
  <si>
    <t>NOM</t>
  </si>
  <si>
    <t>POSTNOM</t>
  </si>
  <si>
    <t>UE</t>
  </si>
  <si>
    <t>Crédits</t>
  </si>
  <si>
    <t>Validation UE</t>
  </si>
  <si>
    <t>Unité d'Enseignement</t>
  </si>
  <si>
    <t>Crédits obtenus</t>
  </si>
  <si>
    <t>Moyenne/20</t>
  </si>
  <si>
    <t>TOTAL ANNUEL</t>
  </si>
  <si>
    <t>Code UE</t>
  </si>
  <si>
    <t>Moy. Pond</t>
  </si>
  <si>
    <t>POURCENTAGE</t>
  </si>
  <si>
    <t>VALIDATION UE</t>
  </si>
  <si>
    <t>DECISION</t>
  </si>
  <si>
    <t>Sexe</t>
  </si>
  <si>
    <t>TOTAL</t>
  </si>
  <si>
    <t>Crédits validés :</t>
  </si>
  <si>
    <t xml:space="preserve">Fait à Kinshasa, le </t>
  </si>
  <si>
    <t>LE CHEF DE SECTION</t>
  </si>
  <si>
    <t>MOYENNE SEMESTRIELLE  :</t>
  </si>
  <si>
    <t>Moyenne Pondérée</t>
  </si>
  <si>
    <t>RESULTAT ANNUEL</t>
  </si>
  <si>
    <t xml:space="preserve">Moyenne </t>
  </si>
  <si>
    <t>CREDIT ANNUEL</t>
  </si>
  <si>
    <t>PRENOM</t>
  </si>
  <si>
    <t>MATRICULE :</t>
  </si>
  <si>
    <t xml:space="preserve">NOM : </t>
  </si>
  <si>
    <t xml:space="preserve">POSTNOM : </t>
  </si>
  <si>
    <t>PRENOM :</t>
  </si>
  <si>
    <t>SEXE :</t>
  </si>
  <si>
    <t>CT MAKALA MAKAMBU Jovin Gratien</t>
  </si>
  <si>
    <t>Professeur MUHINDO KIBWANA Innocent</t>
  </si>
  <si>
    <t xml:space="preserve">              LE SECRETAIRE GENERAL ACADEMIQUE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</si>
  <si>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</si>
  <si>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</si>
  <si>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</si>
  <si>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</si>
  <si>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</si>
  <si>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</si>
  <si>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</si>
  <si>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</si>
  <si>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</si>
  <si>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</si>
  <si>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</si>
  <si>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</si>
  <si>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</si>
  <si>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</si>
  <si>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</si>
  <si>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</si>
  <si>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</si>
  <si>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</si>
  <si>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</si>
  <si>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</si>
  <si>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</si>
  <si>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</si>
  <si>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</si>
  <si>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</si>
  <si>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</si>
  <si>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</si>
  <si>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</si>
  <si>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</si>
  <si>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</si>
  <si>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</si>
  <si>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</si>
  <si>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</si>
  <si>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</si>
  <si>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</si>
  <si>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</si>
  <si>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</si>
  <si>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</si>
  <si>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</si>
  <si>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</si>
  <si>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</si>
  <si>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MATRICULE</t>
  </si>
  <si>
    <t>01</t>
  </si>
  <si>
    <t>MENTION</t>
  </si>
  <si>
    <t>GRILLE DE DELIBERATION DE LA PREMIERE SESSION 2022-2023</t>
  </si>
  <si>
    <t xml:space="preserve">ALP1241 </t>
  </si>
  <si>
    <t xml:space="preserve">TPE1232 </t>
  </si>
  <si>
    <t>M0001</t>
  </si>
  <si>
    <t>MAD1231 : Statistiques appliquées</t>
  </si>
  <si>
    <t>TOTAL SEMESTRE 5</t>
  </si>
  <si>
    <t>CREDIT OBTENU S5</t>
  </si>
  <si>
    <t>M0002</t>
  </si>
  <si>
    <t>M0003</t>
  </si>
  <si>
    <t>M0004</t>
  </si>
  <si>
    <t>M0005</t>
  </si>
  <si>
    <t>M0006</t>
  </si>
  <si>
    <t>M0007</t>
  </si>
  <si>
    <t>M0008</t>
  </si>
  <si>
    <t>M0009</t>
  </si>
  <si>
    <t>M0010</t>
  </si>
  <si>
    <t>M0011</t>
  </si>
  <si>
    <t>M0012</t>
  </si>
  <si>
    <t>M0013</t>
  </si>
  <si>
    <t>M0014</t>
  </si>
  <si>
    <t>M0015</t>
  </si>
  <si>
    <t>M0016</t>
  </si>
  <si>
    <t>M0017</t>
  </si>
  <si>
    <t>M0018</t>
  </si>
  <si>
    <t>M0019</t>
  </si>
  <si>
    <t>M0020</t>
  </si>
  <si>
    <t>M0021</t>
  </si>
  <si>
    <t>M0022</t>
  </si>
  <si>
    <t>M0023</t>
  </si>
  <si>
    <t>M0024</t>
  </si>
  <si>
    <t>M0025</t>
  </si>
  <si>
    <t>M0026</t>
  </si>
  <si>
    <t>M0027</t>
  </si>
  <si>
    <t>M0028</t>
  </si>
  <si>
    <t>M0029</t>
  </si>
  <si>
    <t>M0030</t>
  </si>
  <si>
    <t>M0031</t>
  </si>
  <si>
    <t>M0032</t>
  </si>
  <si>
    <t>M0033</t>
  </si>
  <si>
    <t>M0034</t>
  </si>
  <si>
    <t>M0035</t>
  </si>
  <si>
    <t>M0036</t>
  </si>
  <si>
    <t>M0037</t>
  </si>
  <si>
    <t>M0038</t>
  </si>
  <si>
    <t>M0039</t>
  </si>
  <si>
    <t>M0040</t>
  </si>
  <si>
    <t>M0041</t>
  </si>
  <si>
    <t>SEMESTRE 5</t>
  </si>
  <si>
    <t>SEMESTRE 6</t>
  </si>
  <si>
    <t>ANNEE ACADEMIQUE: 2023-2024</t>
  </si>
  <si>
    <t>SEMESTRE 2   ANNEE ACADEMIQUE: 2023-2024</t>
  </si>
  <si>
    <t>Technique de collecte d’information et manuscrit</t>
  </si>
  <si>
    <t>Technique de sélection et traitement de l’information (manuscrit, audio...)</t>
  </si>
  <si>
    <t>Technique de correction et de lecture</t>
  </si>
  <si>
    <t>Technique de production et reproduction des documents : Imprimerie…</t>
  </si>
  <si>
    <t>Technique commercialisation des produits</t>
  </si>
  <si>
    <t xml:space="preserve">AFP1351 :Atelier de Fabrication et de publication </t>
  </si>
  <si>
    <t xml:space="preserve">ACD1351 :Atelier de Communication Documentaire </t>
  </si>
  <si>
    <t>Eléments de technique de Diffusion et de Distribution</t>
  </si>
  <si>
    <t>Eléments de technique de la Publication</t>
  </si>
  <si>
    <t>Communication scientifique</t>
  </si>
  <si>
    <t xml:space="preserve">ATCPP manuel et électronique des documents </t>
  </si>
  <si>
    <t xml:space="preserve">ATCPP documents dans une bibliothèque </t>
  </si>
  <si>
    <t>ATCPP des documents dans un service d’archives</t>
  </si>
  <si>
    <t>ATCPP des documents dans une maison</t>
  </si>
  <si>
    <t xml:space="preserve">Organisation et gestion des bibliothèques </t>
  </si>
  <si>
    <t xml:space="preserve">Organisation et Gestion des Maison d’édition </t>
  </si>
  <si>
    <t xml:space="preserve">Organisation et Gestion d’un espace culturel </t>
  </si>
  <si>
    <t>AGD1351 : Atelier d’organisation et Gestion des
Institutions Documentaires</t>
  </si>
  <si>
    <t xml:space="preserve">LSD1353 : Stage Professionnel </t>
  </si>
  <si>
    <t xml:space="preserve">Stage Professionnel </t>
  </si>
  <si>
    <t>SECTION SCIENCE TECHNIQU DOCUMENTAIRE</t>
  </si>
  <si>
    <t>PROMOTION: TROISIEME LICENCE LMD STD</t>
  </si>
  <si>
    <t>Initiation à l’Organisation et Gestion d’une Institution documentaire</t>
  </si>
  <si>
    <t xml:space="preserve">Organisation et Gestion des archives  </t>
  </si>
  <si>
    <t>Organisation et Gestion d’une Imprimerie et de librairie</t>
  </si>
  <si>
    <t>Organisation et Gestion d’un espace culturel</t>
  </si>
  <si>
    <t>TOTAL SEMESTRE 6</t>
  </si>
  <si>
    <t>CREDIT OBTENU S6</t>
  </si>
  <si>
    <t>SEMESTRE 5   ANNEE ACADEMIQUE: 2023-2024</t>
  </si>
  <si>
    <t xml:space="preserve">Projet tutoré </t>
  </si>
  <si>
    <t xml:space="preserve">PLS1354 : Projet tutoré </t>
  </si>
  <si>
    <t>CT ODINGA</t>
  </si>
  <si>
    <t>BOLAMBILA</t>
  </si>
  <si>
    <t>NGALASI</t>
  </si>
  <si>
    <t>IPELELE</t>
  </si>
  <si>
    <t>KALOMA</t>
  </si>
  <si>
    <t xml:space="preserve">LIBALI </t>
  </si>
  <si>
    <t>KIMBI</t>
  </si>
  <si>
    <t>MAKASA</t>
  </si>
  <si>
    <t>MIBENGU</t>
  </si>
  <si>
    <t>MBEMBE</t>
  </si>
  <si>
    <t>EKODJI</t>
  </si>
  <si>
    <t xml:space="preserve">MPUTU </t>
  </si>
  <si>
    <t>KIKONGA</t>
  </si>
  <si>
    <t>NGONDA</t>
  </si>
  <si>
    <t>EDUMBADUMBA</t>
  </si>
  <si>
    <t>NSUMBI</t>
  </si>
  <si>
    <t>AUGUSTINE</t>
  </si>
  <si>
    <t>NZEZA</t>
  </si>
  <si>
    <t>NZUMBA</t>
  </si>
  <si>
    <t>SALOPANDA</t>
  </si>
  <si>
    <t>MWASHINI</t>
  </si>
  <si>
    <t>SIKATENDA</t>
  </si>
  <si>
    <t>IYADI</t>
  </si>
  <si>
    <t>TSHIALA</t>
  </si>
  <si>
    <t>TSHUNZA</t>
  </si>
  <si>
    <t>TSHIMBALANGA</t>
  </si>
  <si>
    <t>MUATA</t>
  </si>
  <si>
    <t>TSHITUAKADIA</t>
  </si>
  <si>
    <t>KAMBULU</t>
  </si>
  <si>
    <t xml:space="preserve">IWINI </t>
  </si>
  <si>
    <t xml:space="preserve">BOBUTAKA </t>
  </si>
  <si>
    <t>BOBLUCKS</t>
  </si>
  <si>
    <t>BOYIA</t>
  </si>
  <si>
    <t>LUSAMBA</t>
  </si>
  <si>
    <t>KAYEMBE</t>
  </si>
  <si>
    <t>OMBA</t>
  </si>
  <si>
    <t>KONDE</t>
  </si>
  <si>
    <t>NGIMBI</t>
  </si>
  <si>
    <t>KIMAMBUENI</t>
  </si>
  <si>
    <t>KANSAMBA</t>
  </si>
  <si>
    <t>LEZI</t>
  </si>
  <si>
    <t>NGBEMONGO</t>
  </si>
  <si>
    <t>KIBADI</t>
  </si>
  <si>
    <t>MVULA</t>
  </si>
  <si>
    <t>IMONO</t>
  </si>
  <si>
    <t>MWIKA</t>
  </si>
  <si>
    <t>TSHISUAKA</t>
  </si>
  <si>
    <t>NGONDOMBO</t>
  </si>
  <si>
    <t>MADABA</t>
  </si>
  <si>
    <t>TSHIMANGA</t>
  </si>
  <si>
    <t>MBUTA</t>
  </si>
  <si>
    <t>MAWONDO</t>
  </si>
  <si>
    <t>AYINO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</si>
</sst>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1" fillId="0" borderId="1" xfId="0" applyFont="1" applyBorder="1"/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164" fontId="1" fillId="0" borderId="1" xfId="0" applyNumberFormat="1" applyFont="1" applyBorder="1" applyProtection="1">
      <protection hidden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2" fillId="3" borderId="1" xfId="0" applyFont="1" applyFill="1" applyBorder="1" applyProtection="1">
      <protection hidden="1"/>
    </xf>
    <xf numFmtId="0" fontId="0" fillId="0" borderId="4" xfId="0" applyBorder="1" applyProtection="1">
      <protection hidden="1"/>
    </xf>
    <xf numFmtId="0" fontId="3" fillId="4" borderId="4" xfId="0" applyFont="1" applyFill="1" applyBorder="1" applyProtection="1">
      <protection hidden="1"/>
    </xf>
    <xf numFmtId="0" fontId="4" fillId="4" borderId="1" xfId="0" applyFont="1" applyFill="1" applyBorder="1" applyProtection="1">
      <protection hidden="1"/>
    </xf>
    <xf numFmtId="0" fontId="0" fillId="0" borderId="6" xfId="0" applyBorder="1" applyProtection="1">
      <protection hidden="1"/>
    </xf>
    <xf numFmtId="0" fontId="3" fillId="4" borderId="2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7" xfId="0" applyBorder="1" applyProtection="1">
      <protection hidden="1"/>
    </xf>
    <xf numFmtId="0" fontId="4" fillId="0" borderId="1" xfId="0" applyFont="1" applyBorder="1" applyProtection="1">
      <protection hidden="1"/>
    </xf>
    <xf numFmtId="164" fontId="1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164" fontId="1" fillId="0" borderId="1" xfId="0" applyNumberFormat="1" applyFont="1" applyBorder="1" applyAlignment="1" applyProtection="1">
      <alignment horizontal="center"/>
      <protection hidden="1"/>
    </xf>
    <xf numFmtId="0" fontId="0" fillId="0" borderId="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8" xfId="0" applyBorder="1" applyProtection="1">
      <protection hidden="1"/>
    </xf>
    <xf numFmtId="0" fontId="4" fillId="0" borderId="8" xfId="0" applyFont="1" applyBorder="1" applyProtection="1"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0" borderId="0" xfId="0" applyFont="1" applyProtection="1"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1" fontId="1" fillId="0" borderId="0" xfId="0" applyNumberFormat="1" applyFont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14" fontId="1" fillId="0" borderId="0" xfId="0" applyNumberFormat="1" applyFont="1" applyProtection="1">
      <protection hidden="1"/>
    </xf>
    <xf numFmtId="0" fontId="1" fillId="0" borderId="0" xfId="0" applyFont="1" applyProtection="1">
      <protection hidden="1"/>
    </xf>
    <xf numFmtId="0" fontId="1" fillId="0" borderId="7" xfId="0" applyFont="1" applyBorder="1" applyProtection="1">
      <protection hidden="1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quotePrefix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164" fontId="4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textRotation="90" wrapText="1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0" borderId="1" xfId="0" applyNumberFormat="1" applyBorder="1" applyProtection="1">
      <protection locked="0"/>
    </xf>
    <xf numFmtId="0" fontId="5" fillId="2" borderId="1" xfId="0" applyFont="1" applyFill="1" applyBorder="1" applyAlignment="1">
      <alignment horizontal="center" textRotation="90" wrapText="1"/>
    </xf>
    <xf numFmtId="0" fontId="2" fillId="6" borderId="1" xfId="0" applyFont="1" applyFill="1" applyBorder="1" applyAlignment="1">
      <alignment horizontal="center" textRotation="90" wrapText="1"/>
    </xf>
    <xf numFmtId="0" fontId="2" fillId="5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" fillId="0" borderId="0" xfId="0" applyFont="1" applyAlignment="1" applyProtection="1">
      <alignment horizontal="right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Border="1" applyAlignment="1" applyProtection="1">
      <alignment horizontal="center" vertical="center"/>
      <protection hidden="1"/>
    </xf>
    <xf numFmtId="164" fontId="1" fillId="0" borderId="2" xfId="0" applyNumberFormat="1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87245</xdr:colOff>
      <xdr:row>0</xdr:row>
      <xdr:rowOff>0</xdr:rowOff>
    </xdr:from>
    <xdr:to>
      <xdr:col>16</xdr:col>
      <xdr:colOff>55317</xdr:colOff>
      <xdr:row>3</xdr:row>
      <xdr:rowOff>53789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23669" y="0"/>
          <a:ext cx="649390" cy="5916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147205</xdr:colOff>
      <xdr:row>0</xdr:row>
      <xdr:rowOff>8659</xdr:rowOff>
    </xdr:from>
    <xdr:to>
      <xdr:col>1</xdr:col>
      <xdr:colOff>528205</xdr:colOff>
      <xdr:row>5</xdr:row>
      <xdr:rowOff>119324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05" y="8659"/>
          <a:ext cx="1143000" cy="10718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147205</xdr:colOff>
      <xdr:row>0</xdr:row>
      <xdr:rowOff>8659</xdr:rowOff>
    </xdr:from>
    <xdr:to>
      <xdr:col>1</xdr:col>
      <xdr:colOff>528205</xdr:colOff>
      <xdr:row>5</xdr:row>
      <xdr:rowOff>24073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05" y="8659"/>
          <a:ext cx="1143000" cy="1071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308569</xdr:colOff>
      <xdr:row>0</xdr:row>
      <xdr:rowOff>62447</xdr:rowOff>
    </xdr:from>
    <xdr:to>
      <xdr:col>1</xdr:col>
      <xdr:colOff>689569</xdr:colOff>
      <xdr:row>6</xdr:row>
      <xdr:rowOff>2477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569" y="62447"/>
          <a:ext cx="1169894" cy="10157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Y49"/>
  <sheetViews>
    <sheetView tabSelected="1" zoomScale="78" zoomScaleNormal="78" zoomScaleSheetLayoutView="100" workbookViewId="0">
      <pane ySplit="8" topLeftCell="A24" activePane="bottomLeft" state="frozen"/>
      <selection activeCell="D1" sqref="D1"/>
      <selection pane="bottomLeft" activeCell="P6" sqref="P6"/>
    </sheetView>
  </sheetViews>
  <sheetFormatPr baseColWidth="10" defaultColWidth="11.453125" defaultRowHeight="14.5" x14ac:dyDescent="0.35"/>
  <cols>
    <col min="1" max="1" width="4.453125" style="8" bestFit="1" customWidth="1"/>
    <col min="2" max="2" width="9.6328125" style="8" customWidth="1"/>
    <col min="3" max="4" width="20.6328125" style="71" customWidth="1"/>
    <col min="5" max="5" width="17.6328125" style="71" customWidth="1"/>
    <col min="6" max="6" width="23" style="71" customWidth="1"/>
    <col min="7" max="7" width="4.90625" style="8" bestFit="1" customWidth="1"/>
    <col min="8" max="8" width="12" style="8" bestFit="1" customWidth="1"/>
    <col min="9" max="9" width="7.6328125" style="9" customWidth="1"/>
    <col min="10" max="10" width="6.6328125" style="9" bestFit="1" customWidth="1"/>
    <col min="11" max="13" width="6.6328125" style="9" customWidth="1"/>
    <col min="14" max="14" width="5.08984375" style="9" customWidth="1"/>
    <col min="15" max="15" width="6" style="9" hidden="1" customWidth="1"/>
    <col min="16" max="16" width="9.90625" style="9" customWidth="1"/>
    <col min="17" max="17" width="6.6328125" style="9" bestFit="1" customWidth="1"/>
    <col min="18" max="18" width="6.6328125" style="9" customWidth="1"/>
    <col min="19" max="19" width="5.08984375" style="9" customWidth="1"/>
    <col min="20" max="20" width="4.08984375" style="9" hidden="1" customWidth="1"/>
    <col min="21" max="21" width="7.6328125" style="9" customWidth="1"/>
    <col min="22" max="22" width="6.6328125" style="9" bestFit="1" customWidth="1"/>
    <col min="23" max="23" width="6.6328125" style="9" customWidth="1"/>
    <col min="24" max="24" width="5.453125" style="9" customWidth="1"/>
    <col min="25" max="25" width="6.6328125" style="9" bestFit="1" customWidth="1"/>
    <col min="26" max="26" width="3.6328125" style="9" hidden="1" customWidth="1"/>
    <col min="27" max="27" width="10" style="9" bestFit="1" customWidth="1"/>
    <col min="28" max="28" width="9.54296875" style="9" customWidth="1"/>
    <col min="29" max="31" width="6.6328125" style="9" customWidth="1"/>
    <col min="32" max="32" width="6.6328125" style="9" bestFit="1" customWidth="1"/>
    <col min="33" max="33" width="5.453125" style="9" bestFit="1" customWidth="1"/>
    <col min="34" max="34" width="3.6328125" style="9" hidden="1" customWidth="1"/>
    <col min="35" max="35" width="7.453125" style="9" customWidth="1"/>
    <col min="36" max="36" width="6.6328125" style="9" bestFit="1" customWidth="1"/>
    <col min="37" max="37" width="4.90625" style="9" hidden="1" customWidth="1"/>
    <col min="38" max="38" width="7.08984375" style="9" customWidth="1"/>
    <col min="39" max="39" width="5.453125" style="9" customWidth="1"/>
    <col min="40" max="40" width="0.453125" style="78" customWidth="1"/>
    <col min="41" max="41" width="7.453125" style="9" customWidth="1"/>
    <col min="42" max="42" width="4.54296875" style="9" customWidth="1"/>
    <col min="43" max="43" width="4.6328125" style="9" hidden="1" customWidth="1"/>
    <col min="44" max="44" width="6.6328125" style="9" customWidth="1"/>
    <col min="45" max="45" width="5" style="9" customWidth="1"/>
    <col min="46" max="46" width="7.6328125" style="8" customWidth="1"/>
    <col min="47" max="47" width="8.08984375" style="8" customWidth="1"/>
    <col min="48" max="48" width="12.36328125" style="8" bestFit="1" customWidth="1"/>
    <col min="49" max="49" width="7.453125" style="8" customWidth="1"/>
    <col min="50" max="50" width="13.36328125" style="8" bestFit="1" customWidth="1"/>
    <col min="51" max="51" width="55.36328125" style="8" customWidth="1"/>
    <col min="52" max="16384" width="11.453125" style="8"/>
  </cols>
  <sheetData>
    <row r="1" spans="1:51" customFormat="1" x14ac:dyDescent="0.3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</row>
    <row r="2" spans="1:51" customFormat="1" x14ac:dyDescent="0.35">
      <c r="A2" s="80" t="s">
        <v>149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</row>
    <row r="3" spans="1:51" customFormat="1" x14ac:dyDescent="0.35">
      <c r="A3" s="80" t="s">
        <v>150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</row>
    <row r="4" spans="1:51" customFormat="1" x14ac:dyDescent="0.35">
      <c r="A4" s="80" t="s">
        <v>78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</row>
    <row r="5" spans="1:51" customFormat="1" ht="166.5" customHeight="1" x14ac:dyDescent="0.35">
      <c r="G5" s="7"/>
      <c r="H5" t="s">
        <v>4</v>
      </c>
      <c r="I5" s="62" t="s">
        <v>134</v>
      </c>
      <c r="J5" s="67" t="s">
        <v>129</v>
      </c>
      <c r="K5" s="67" t="s">
        <v>130</v>
      </c>
      <c r="L5" s="67" t="s">
        <v>131</v>
      </c>
      <c r="M5" s="67" t="s">
        <v>132</v>
      </c>
      <c r="N5" s="67" t="s">
        <v>133</v>
      </c>
      <c r="O5" s="68" t="str">
        <f>+LEFT(I5,6)</f>
        <v>AFP135</v>
      </c>
      <c r="P5" s="62" t="s">
        <v>135</v>
      </c>
      <c r="Q5" s="67" t="s">
        <v>136</v>
      </c>
      <c r="R5" s="67" t="s">
        <v>137</v>
      </c>
      <c r="S5" s="67" t="s">
        <v>138</v>
      </c>
      <c r="T5" s="68" t="str">
        <f>+LEFT(O5,6)</f>
        <v>AFP135</v>
      </c>
      <c r="U5" s="62" t="s">
        <v>82</v>
      </c>
      <c r="V5" s="67" t="s">
        <v>139</v>
      </c>
      <c r="W5" s="67" t="s">
        <v>140</v>
      </c>
      <c r="X5" s="67" t="s">
        <v>141</v>
      </c>
      <c r="Y5" s="67" t="s">
        <v>142</v>
      </c>
      <c r="Z5" s="68" t="str">
        <f>+LEFT(U5,6)</f>
        <v>MAD123</v>
      </c>
      <c r="AA5" s="62" t="s">
        <v>146</v>
      </c>
      <c r="AB5" s="67" t="s">
        <v>151</v>
      </c>
      <c r="AC5" s="67" t="s">
        <v>152</v>
      </c>
      <c r="AD5" s="67" t="s">
        <v>143</v>
      </c>
      <c r="AE5" s="67" t="s">
        <v>144</v>
      </c>
      <c r="AF5" s="67" t="s">
        <v>153</v>
      </c>
      <c r="AG5" s="67" t="s">
        <v>154</v>
      </c>
      <c r="AH5" s="68" t="s">
        <v>145</v>
      </c>
      <c r="AI5" s="62" t="s">
        <v>147</v>
      </c>
      <c r="AJ5" s="67" t="s">
        <v>148</v>
      </c>
      <c r="AK5" s="68" t="s">
        <v>80</v>
      </c>
      <c r="AL5" s="62" t="s">
        <v>83</v>
      </c>
      <c r="AM5" s="62" t="s">
        <v>84</v>
      </c>
      <c r="AN5" s="69"/>
      <c r="AO5" s="62" t="s">
        <v>159</v>
      </c>
      <c r="AP5" s="67" t="s">
        <v>158</v>
      </c>
      <c r="AQ5" s="68" t="s">
        <v>79</v>
      </c>
      <c r="AR5" s="62" t="s">
        <v>155</v>
      </c>
      <c r="AS5" s="62" t="s">
        <v>156</v>
      </c>
      <c r="AT5" s="62" t="s">
        <v>10</v>
      </c>
      <c r="AU5" s="62" t="s">
        <v>13</v>
      </c>
      <c r="AV5" s="62" t="s">
        <v>14</v>
      </c>
      <c r="AW5" s="62" t="s">
        <v>25</v>
      </c>
      <c r="AX5" s="62" t="s">
        <v>77</v>
      </c>
      <c r="AY5" s="60" t="s">
        <v>15</v>
      </c>
    </row>
    <row r="6" spans="1:51" customFormat="1" ht="15.5" x14ac:dyDescent="0.35">
      <c r="A6" s="1"/>
      <c r="B6" s="1"/>
      <c r="C6" s="1"/>
      <c r="D6" s="1"/>
      <c r="E6" s="1"/>
      <c r="F6" s="1"/>
      <c r="G6" s="61"/>
      <c r="H6" s="1" t="s">
        <v>12</v>
      </c>
      <c r="I6" s="73">
        <f t="shared" ref="I6" si="0">I8*I7</f>
        <v>100</v>
      </c>
      <c r="J6" s="73">
        <f t="shared" ref="J6:N6" si="1">J8*J7</f>
        <v>20</v>
      </c>
      <c r="K6" s="73">
        <f t="shared" si="1"/>
        <v>20</v>
      </c>
      <c r="L6" s="73">
        <f t="shared" si="1"/>
        <v>20</v>
      </c>
      <c r="M6" s="73">
        <f t="shared" si="1"/>
        <v>20</v>
      </c>
      <c r="N6" s="73">
        <f t="shared" si="1"/>
        <v>20</v>
      </c>
      <c r="O6" s="73"/>
      <c r="P6" s="73">
        <f t="shared" ref="P6:S6" si="2">P8*P7</f>
        <v>120</v>
      </c>
      <c r="Q6" s="73">
        <f t="shared" si="2"/>
        <v>40</v>
      </c>
      <c r="R6" s="73">
        <f t="shared" si="2"/>
        <v>40</v>
      </c>
      <c r="S6" s="73">
        <f t="shared" si="2"/>
        <v>40</v>
      </c>
      <c r="T6" s="73"/>
      <c r="U6" s="73">
        <f t="shared" ref="U6" si="3">U8*U7</f>
        <v>100</v>
      </c>
      <c r="V6" s="73">
        <f t="shared" ref="V6:X6" si="4">V8*V7</f>
        <v>40</v>
      </c>
      <c r="W6" s="73">
        <f t="shared" si="4"/>
        <v>20</v>
      </c>
      <c r="X6" s="73">
        <f t="shared" si="4"/>
        <v>20</v>
      </c>
      <c r="Y6" s="73">
        <f t="shared" ref="Y6" si="5">Y8*Y7</f>
        <v>20</v>
      </c>
      <c r="Z6" s="73"/>
      <c r="AA6" s="73">
        <f t="shared" ref="AA6" si="6">AA8*AA7</f>
        <v>120</v>
      </c>
      <c r="AB6" s="73">
        <f t="shared" ref="AB6:AF6" si="7">AB8*AB7</f>
        <v>20</v>
      </c>
      <c r="AC6" s="73">
        <f t="shared" si="7"/>
        <v>20</v>
      </c>
      <c r="AD6" s="73">
        <f t="shared" si="7"/>
        <v>20</v>
      </c>
      <c r="AE6" s="73">
        <f t="shared" si="7"/>
        <v>20</v>
      </c>
      <c r="AF6" s="73">
        <f t="shared" si="7"/>
        <v>20</v>
      </c>
      <c r="AG6" s="73">
        <f t="shared" ref="AG6" si="8">AG8*AG7</f>
        <v>20</v>
      </c>
      <c r="AH6" s="73"/>
      <c r="AI6" s="73">
        <f t="shared" ref="AI6" si="9">AI8*AI7</f>
        <v>160</v>
      </c>
      <c r="AJ6" s="73">
        <f t="shared" ref="AJ6" si="10">AJ8*AJ7</f>
        <v>160</v>
      </c>
      <c r="AK6" s="73"/>
      <c r="AL6" s="73">
        <f>AL8*AL7</f>
        <v>600</v>
      </c>
      <c r="AM6" s="73">
        <v>30</v>
      </c>
      <c r="AN6" s="74"/>
      <c r="AO6" s="73">
        <f t="shared" ref="AO6:AP6" si="11">AO8*AO7</f>
        <v>600</v>
      </c>
      <c r="AP6" s="73">
        <f t="shared" si="11"/>
        <v>600</v>
      </c>
      <c r="AQ6" s="73"/>
      <c r="AR6" s="73">
        <f>AR8*AR7</f>
        <v>600</v>
      </c>
      <c r="AS6" s="73">
        <v>30</v>
      </c>
      <c r="AT6" s="2">
        <f>AR6+AL6</f>
        <v>1200</v>
      </c>
      <c r="AU6" s="1"/>
      <c r="AV6" s="1"/>
      <c r="AW6" s="61">
        <v>60</v>
      </c>
      <c r="AX6" s="1"/>
      <c r="AY6" s="1"/>
    </row>
    <row r="7" spans="1:51" customFormat="1" x14ac:dyDescent="0.35">
      <c r="A7" s="1"/>
      <c r="B7" s="1"/>
      <c r="C7" s="1"/>
      <c r="D7" s="1"/>
      <c r="E7" s="1"/>
      <c r="F7" s="1"/>
      <c r="G7" s="61"/>
      <c r="H7" s="1" t="s">
        <v>5</v>
      </c>
      <c r="I7" s="75">
        <f>+SUM(J7:N7)</f>
        <v>5</v>
      </c>
      <c r="J7" s="61">
        <v>1</v>
      </c>
      <c r="K7" s="61">
        <v>1</v>
      </c>
      <c r="L7" s="61">
        <v>1</v>
      </c>
      <c r="M7" s="61">
        <v>1</v>
      </c>
      <c r="N7" s="61">
        <v>1</v>
      </c>
      <c r="O7" s="61"/>
      <c r="P7" s="75">
        <f>+SUM(Q7:S7)</f>
        <v>6</v>
      </c>
      <c r="Q7" s="61">
        <v>2</v>
      </c>
      <c r="R7" s="61">
        <v>2</v>
      </c>
      <c r="S7" s="61">
        <v>2</v>
      </c>
      <c r="T7" s="61"/>
      <c r="U7" s="75">
        <f>+SUM(V7:Y7)</f>
        <v>5</v>
      </c>
      <c r="V7" s="61">
        <v>2</v>
      </c>
      <c r="W7" s="61">
        <v>1</v>
      </c>
      <c r="X7" s="61">
        <v>1</v>
      </c>
      <c r="Y7" s="61">
        <v>1</v>
      </c>
      <c r="Z7" s="61"/>
      <c r="AA7" s="75">
        <f>+SUM(AB7:AG7)</f>
        <v>6</v>
      </c>
      <c r="AB7" s="61">
        <v>1</v>
      </c>
      <c r="AC7" s="61">
        <v>1</v>
      </c>
      <c r="AD7" s="61">
        <v>1</v>
      </c>
      <c r="AE7" s="61">
        <v>1</v>
      </c>
      <c r="AF7" s="61">
        <v>1</v>
      </c>
      <c r="AG7" s="61">
        <v>1</v>
      </c>
      <c r="AH7" s="61"/>
      <c r="AI7" s="75">
        <f>+SUM(AJ7:AJ7)</f>
        <v>8</v>
      </c>
      <c r="AJ7" s="61">
        <v>8</v>
      </c>
      <c r="AK7" s="61"/>
      <c r="AL7" s="75">
        <f>I7+U7+AA7+AI7+P7</f>
        <v>30</v>
      </c>
      <c r="AM7" s="75"/>
      <c r="AN7" s="76"/>
      <c r="AO7" s="75">
        <f>+SUM(AP7:AP7)</f>
        <v>30</v>
      </c>
      <c r="AP7" s="61">
        <v>30</v>
      </c>
      <c r="AQ7" s="61"/>
      <c r="AR7" s="75">
        <f>AO7</f>
        <v>30</v>
      </c>
      <c r="AS7" s="75"/>
      <c r="AT7" s="3">
        <f>AR7+AL7</f>
        <v>60</v>
      </c>
      <c r="AU7" s="1"/>
      <c r="AV7" s="1"/>
      <c r="AW7" s="61"/>
      <c r="AX7" s="1"/>
      <c r="AY7" s="1"/>
    </row>
    <row r="8" spans="1:51" customFormat="1" x14ac:dyDescent="0.35">
      <c r="A8" s="64" t="s">
        <v>1</v>
      </c>
      <c r="B8" s="64" t="s">
        <v>75</v>
      </c>
      <c r="C8" s="64"/>
      <c r="D8" s="64" t="s">
        <v>2</v>
      </c>
      <c r="E8" s="64" t="s">
        <v>3</v>
      </c>
      <c r="F8" s="64" t="s">
        <v>26</v>
      </c>
      <c r="G8" s="65" t="s">
        <v>16</v>
      </c>
      <c r="H8" s="66" t="s">
        <v>9</v>
      </c>
      <c r="I8" s="61">
        <v>20</v>
      </c>
      <c r="J8" s="61">
        <v>20</v>
      </c>
      <c r="K8" s="61">
        <v>20</v>
      </c>
      <c r="L8" s="61">
        <v>20</v>
      </c>
      <c r="M8" s="61">
        <v>20</v>
      </c>
      <c r="N8" s="61">
        <v>20</v>
      </c>
      <c r="O8" s="61"/>
      <c r="P8" s="61">
        <v>20</v>
      </c>
      <c r="Q8" s="61">
        <v>20</v>
      </c>
      <c r="R8" s="61">
        <v>20</v>
      </c>
      <c r="S8" s="61">
        <v>20</v>
      </c>
      <c r="T8" s="61"/>
      <c r="U8" s="61">
        <v>20</v>
      </c>
      <c r="V8" s="61">
        <v>20</v>
      </c>
      <c r="W8" s="61">
        <v>20</v>
      </c>
      <c r="X8" s="61">
        <v>20</v>
      </c>
      <c r="Y8" s="61">
        <v>20</v>
      </c>
      <c r="Z8" s="61"/>
      <c r="AA8" s="61">
        <v>20</v>
      </c>
      <c r="AB8" s="61">
        <v>20</v>
      </c>
      <c r="AC8" s="61">
        <v>20</v>
      </c>
      <c r="AD8" s="61">
        <v>20</v>
      </c>
      <c r="AE8" s="61">
        <v>20</v>
      </c>
      <c r="AF8" s="61">
        <v>20</v>
      </c>
      <c r="AG8" s="61">
        <v>20</v>
      </c>
      <c r="AH8" s="61"/>
      <c r="AI8" s="61">
        <v>20</v>
      </c>
      <c r="AJ8" s="61">
        <v>20</v>
      </c>
      <c r="AK8" s="61"/>
      <c r="AL8" s="61">
        <v>20</v>
      </c>
      <c r="AM8" s="61"/>
      <c r="AN8" s="77"/>
      <c r="AO8" s="61">
        <v>20</v>
      </c>
      <c r="AP8" s="61">
        <v>20</v>
      </c>
      <c r="AQ8" s="61"/>
      <c r="AR8" s="61">
        <v>20</v>
      </c>
      <c r="AS8" s="61"/>
      <c r="AT8" s="1">
        <v>20</v>
      </c>
      <c r="AU8" s="1"/>
      <c r="AV8" s="1"/>
      <c r="AW8" s="61"/>
      <c r="AX8" s="1"/>
      <c r="AY8" s="1"/>
    </row>
    <row r="9" spans="1:51" s="58" customFormat="1" ht="15.5" x14ac:dyDescent="0.35">
      <c r="A9" s="51" t="s">
        <v>76</v>
      </c>
      <c r="B9" s="52" t="s">
        <v>81</v>
      </c>
      <c r="C9" s="70"/>
      <c r="D9" s="70" t="s">
        <v>212</v>
      </c>
      <c r="E9" s="70" t="s">
        <v>162</v>
      </c>
      <c r="F9" s="70"/>
      <c r="G9" s="52"/>
      <c r="H9" s="59"/>
      <c r="I9" s="54">
        <f>(J9*$J$7+M9*$M$7+L9*$L$7+K9*$K$7+N9*$N$7)/$I$7</f>
        <v>12</v>
      </c>
      <c r="J9" s="52">
        <v>13</v>
      </c>
      <c r="K9" s="52">
        <v>14</v>
      </c>
      <c r="L9" s="52">
        <v>11</v>
      </c>
      <c r="M9" s="52">
        <v>10</v>
      </c>
      <c r="N9" s="52">
        <v>12</v>
      </c>
      <c r="O9" s="53">
        <f>IF(I9&gt;=10,$I$7,SUM(IF(J9&gt;=10,J$7,0),IF(M9&gt;=10,M$7,0),IF(L9&gt;=10,L$7,0),IF(K9&gt;=10,K$7,0),IF(N9&gt;=10,N$7,0)))</f>
        <v>5</v>
      </c>
      <c r="P9" s="54">
        <f>(Q9*$Q$7+R9*$R$7+S9*$S$7)/$P$7</f>
        <v>7</v>
      </c>
      <c r="Q9" s="52">
        <v>0</v>
      </c>
      <c r="R9" s="52">
        <v>12</v>
      </c>
      <c r="S9" s="52">
        <v>9</v>
      </c>
      <c r="T9" s="53">
        <f>IF(P9&gt;=10,$P$7,SUM(IF(Q9&gt;=10,Q$7,0),IF(R9&gt;=10,R$7,0),IF(S9&gt;=10,S$7,0)))</f>
        <v>2</v>
      </c>
      <c r="U9" s="54">
        <f>(V9*$V$7+X9*$X$7+W9*$W$7+Y9*$Y$7)/$U$7</f>
        <v>2.6</v>
      </c>
      <c r="V9" s="52">
        <v>0</v>
      </c>
      <c r="W9" s="52">
        <v>0</v>
      </c>
      <c r="X9" s="52">
        <v>0</v>
      </c>
      <c r="Y9" s="52">
        <v>13</v>
      </c>
      <c r="Z9" s="53">
        <f>IF(U9&gt;=10,$U$7,SUM(IF(X9&gt;=10,X$7,0),IF(V9&gt;=10,V$7,0),IF(W9&gt;=10,W$7,0),IF(Y9&gt;=10,Y$7,0)))</f>
        <v>1</v>
      </c>
      <c r="AA9" s="54">
        <f>(AB9*$AB$7+AF9*$AF$7+AC9*$AC$7+AD9*$AD$7+AE9*$AE$7+AG9*$AG$7)/$AA$7</f>
        <v>8.1666666666666661</v>
      </c>
      <c r="AB9" s="72">
        <v>0</v>
      </c>
      <c r="AC9" s="52">
        <v>13</v>
      </c>
      <c r="AD9" s="52">
        <v>12</v>
      </c>
      <c r="AE9" s="52">
        <v>12</v>
      </c>
      <c r="AF9" s="52"/>
      <c r="AG9" s="52">
        <v>12</v>
      </c>
      <c r="AH9" s="53">
        <f>IF(AA9&gt;=10,$AA$7,SUM(IF(AB9&gt;=10,AB$7,0),IF(AF9&gt;=10,AF$7,0),IF(AE9&gt;=10,AE$7,0),IF(AD9&gt;=10,AD$7,0),IF(AC9&gt;=10,AC$7,0),IF(AG9&gt;=10,AG$7,0)))</f>
        <v>4</v>
      </c>
      <c r="AI9" s="54">
        <f>(AJ9*$AJ$7)/$AI$7</f>
        <v>14</v>
      </c>
      <c r="AJ9" s="52">
        <v>14</v>
      </c>
      <c r="AK9" s="53">
        <f>IF(AI9&gt;=10,$AI$7,SUM(IF(AJ9&gt;=10,AJ$7,0)))</f>
        <v>8</v>
      </c>
      <c r="AL9" s="54">
        <f>SUM(P9*$P$7,U9*$U$7,AA9*$AA$7,AI9*$AI$7,I9*$I$7)/$AL$7</f>
        <v>9.1999999999999993</v>
      </c>
      <c r="AM9" s="57">
        <f>SUM(AK9,AH9,Z9,O9,T9)</f>
        <v>20</v>
      </c>
      <c r="AN9" s="56"/>
      <c r="AO9" s="54">
        <f>(AP9*$AP$7)/$AO$7</f>
        <v>8</v>
      </c>
      <c r="AP9" s="52">
        <v>8</v>
      </c>
      <c r="AQ9" s="53">
        <f>IF(AO9&gt;=10,$AO$7,SUM(IF(AP9&gt;=10,AP$7,0)))</f>
        <v>0</v>
      </c>
      <c r="AR9" s="54">
        <f>(AO9*$AO$7)/$AR$7</f>
        <v>8</v>
      </c>
      <c r="AS9" s="53">
        <f>SUM(AQ9)</f>
        <v>0</v>
      </c>
      <c r="AT9" s="54">
        <f t="shared" ref="AT9:AT49" si="12">(AR9*$AR$7+AL9*$AL$7)/$AT$7</f>
        <v>8.6</v>
      </c>
      <c r="AU9" s="54">
        <f>(AT9*$AT$7/$AT$6)*100</f>
        <v>43</v>
      </c>
      <c r="AV9" s="55" t="str">
        <f>IF(AW9&lt;60,"Non Validée","Validée")</f>
        <v>Non Validée</v>
      </c>
      <c r="AW9" s="54">
        <f t="shared" ref="AW9:AW49" si="13">AS9+AM9</f>
        <v>20</v>
      </c>
      <c r="AX9" s="55" t="str">
        <f>IF(AV9="Non Validé","Rattrapage",IF(AT9&gt;=18,"Excellent",IF(AND(AT9&gt;=16,AT9&lt;18),"Très Bien",IF(AND(AT9&gt;=14,AT9&lt;16),"Bien",IF(AND(AT9&gt;=12,AT9&lt;14),"Assez Bien",IF(AND(AT9&gt;=10,AT9&lt;12),"Passable",IF(AND(AT9&gt;=8,AT9&lt;10),"Insuffisant","Insatisfaisant")))))))</f>
        <v>Insuffisant</v>
      </c>
      <c r="AY9" s="50" t="str">
        <f>IF(AV9="Validée","Admis en L3 LMD",IF(OR(AX9="Insuffisant",AX9="Insatisfaisant"),"Ajourné",CONCATENATE("Admis en L3 LMD avec crédits à valider des UE :",IF(#REF!&lt;#REF!,#REF!,"")," ",IF(#REF!&lt;#REF!,#REF!,"")," ",IF(#REF!&lt;#REF!,#REF!,"")," ",IF(#REF!&lt;#REF!,#REF!,"")," ",IF(#REF!&lt;#REF!,#REF!,"")," ",IF(O9&lt;$I$7,$O$5,"")," ",IF(Z9&lt;$U$7,$Z$5,"")," ",IF(AH9&lt;$AA$7,$AH$5,"")," ",IF(AK9&lt;$AI$7,$AK$5,""))))</f>
        <v>Ajourné</v>
      </c>
    </row>
    <row r="10" spans="1:51" s="58" customFormat="1" ht="15.5" x14ac:dyDescent="0.35">
      <c r="A10" s="51" t="s">
        <v>35</v>
      </c>
      <c r="B10" s="52" t="s">
        <v>85</v>
      </c>
      <c r="C10" s="70"/>
      <c r="D10" s="70" t="s">
        <v>161</v>
      </c>
      <c r="E10" s="70" t="s">
        <v>163</v>
      </c>
      <c r="F10" s="70"/>
      <c r="G10" s="52"/>
      <c r="H10" s="59"/>
      <c r="I10" s="54">
        <f t="shared" ref="I10:I49" si="14">(J10*$J$7+M10*$M$7+L10*$L$7+K10*$K$7+N10*$N$7)/$I$7</f>
        <v>9.1999999999999993</v>
      </c>
      <c r="J10" s="52">
        <v>13</v>
      </c>
      <c r="K10" s="52">
        <v>10</v>
      </c>
      <c r="L10" s="52">
        <v>8</v>
      </c>
      <c r="M10" s="52">
        <v>3</v>
      </c>
      <c r="N10" s="52">
        <v>12</v>
      </c>
      <c r="O10" s="53">
        <f t="shared" ref="O10:O49" si="15">IF(I10&gt;=10,$I$7,SUM(IF(J10&gt;=10,J$7,0),IF(M10&gt;=10,M$7,0),IF(L10&gt;=10,L$7,0),IF(K10&gt;=10,K$7,0),IF(N10&gt;=10,N$7,0)))</f>
        <v>3</v>
      </c>
      <c r="P10" s="54">
        <f t="shared" ref="P10:P49" si="16">(Q10*$Q$7+R10*$R$7+S10*$S$7)/$P$7</f>
        <v>6.333333333333333</v>
      </c>
      <c r="Q10" s="52">
        <v>0</v>
      </c>
      <c r="R10" s="52">
        <v>13</v>
      </c>
      <c r="S10" s="52">
        <v>6</v>
      </c>
      <c r="T10" s="53">
        <f t="shared" ref="T10:T49" si="17">IF(P10&gt;=10,$P$7,SUM(IF(Q10&gt;=10,Q$7,0),IF(R10&gt;=10,R$7,0),IF(S10&gt;=10,S$7,0)))</f>
        <v>2</v>
      </c>
      <c r="U10" s="54">
        <f t="shared" ref="U10:U49" si="18">(V10*$V$7+X10*$X$7+W10*$W$7+Y10*$Y$7)/$U$7</f>
        <v>5.4</v>
      </c>
      <c r="V10" s="52">
        <v>8</v>
      </c>
      <c r="W10" s="52">
        <v>3</v>
      </c>
      <c r="X10" s="52">
        <v>0</v>
      </c>
      <c r="Y10" s="52">
        <v>8</v>
      </c>
      <c r="Z10" s="53">
        <f t="shared" ref="Z10:Z49" si="19">IF(U10&gt;=10,$U$7,SUM(IF(X10&gt;=10,X$7,0),IF(V10&gt;=10,V$7,0),IF(W10&gt;=10,W$7,0),IF(Y10&gt;=10,Y$7,0)))</f>
        <v>0</v>
      </c>
      <c r="AA10" s="54">
        <f t="shared" ref="AA10:AA49" si="20">(AB10*$AB$7+AF10*$AF$7+AC10*$AC$7+AD10*$AD$7+AE10*$AE$7+AG10*$AG$7)/$AA$7</f>
        <v>3.6666666666666665</v>
      </c>
      <c r="AB10" s="72">
        <v>12</v>
      </c>
      <c r="AC10" s="52"/>
      <c r="AD10" s="52"/>
      <c r="AE10" s="52"/>
      <c r="AF10" s="52"/>
      <c r="AG10" s="52">
        <v>10</v>
      </c>
      <c r="AH10" s="53">
        <f t="shared" ref="AH10:AH49" si="21">IF(AA10&gt;=10,$AA$7,SUM(IF(AB10&gt;=10,AB$7,0),IF(AF10&gt;=10,AF$7,0),IF(AE10&gt;=10,AE$7,0),IF(AD10&gt;=10,AD$7,0),IF(AC10&gt;=10,AC$7,0),IF(AG10&gt;=10,AG$7,0)))</f>
        <v>2</v>
      </c>
      <c r="AI10" s="54">
        <f t="shared" ref="AI10:AI49" si="22">(AJ10*$AJ$7)/$AI$7</f>
        <v>0</v>
      </c>
      <c r="AJ10" s="52"/>
      <c r="AK10" s="53">
        <f t="shared" ref="AK10:AK49" si="23">IF(AI10&gt;=10,$AI$7,SUM(IF(AJ10&gt;=10,AJ$7,0)))</f>
        <v>0</v>
      </c>
      <c r="AL10" s="54">
        <f t="shared" ref="AL10:AL49" si="24">SUM(P10*$P$7,U10*$U$7,AA10*$AA$7,AI10*$AI$7,I10*$I$7)/$AL$7</f>
        <v>4.4333333333333336</v>
      </c>
      <c r="AM10" s="57">
        <f t="shared" ref="AM10:AM49" si="25">SUM(AK10,AH10,Z10,O10,T10)</f>
        <v>7</v>
      </c>
      <c r="AN10" s="56"/>
      <c r="AO10" s="54">
        <f t="shared" ref="AO10:AO49" si="26">(AP10*$AP$7)/$AO$7</f>
        <v>0</v>
      </c>
      <c r="AP10" s="52"/>
      <c r="AQ10" s="53">
        <f t="shared" ref="AQ10:AQ49" si="27">IF(AO10&gt;=10,$AO$7,SUM(IF(AP10&gt;=10,AP$7,0)))</f>
        <v>0</v>
      </c>
      <c r="AR10" s="54">
        <f t="shared" ref="AR10:AR49" si="28">(AO10*$AO$7)/$AR$7</f>
        <v>0</v>
      </c>
      <c r="AS10" s="53">
        <f t="shared" ref="AS10:AS49" si="29">SUM(AQ10)</f>
        <v>0</v>
      </c>
      <c r="AT10" s="54">
        <f t="shared" si="12"/>
        <v>2.2166666666666668</v>
      </c>
      <c r="AU10" s="54">
        <f>(AT10*$AT$7/$AT$6)*100</f>
        <v>11.083333333333334</v>
      </c>
      <c r="AV10" s="55" t="str">
        <f t="shared" ref="AV10:AV49" si="30">IF(AW10&lt;60,"Non Validée","Validée")</f>
        <v>Non Validée</v>
      </c>
      <c r="AW10" s="54">
        <f t="shared" si="13"/>
        <v>7</v>
      </c>
      <c r="AX10" s="55" t="str">
        <f>IF(AV10="Non Validé","Rattrapage",IF(AT10&gt;=18,"Excellent",IF(AND(AT10&gt;=16,AT10&lt;18),"Très Bien",IF(AND(AT10&gt;=14,AT10&lt;16),"Bien",IF(AND(AT10&gt;=12,AT10&lt;14),"Assez Bien",IF(AND(AT10&gt;=10,AT10&lt;12),"Passable",IF(AND(AT10&gt;=8,AT10&lt;10),"Insuffisant","Insatisfaisant")))))))</f>
        <v>Insatisfaisant</v>
      </c>
      <c r="AY10" s="50" t="str">
        <f>IF(AV10="Validée","Admis en L3 LMD",IF(OR(AX10="Insuffisant",AX10="Insatisfaisant"),"Ajourné",CONCATENATE("Admis en L3 LMD avec crédits à valider des UE :",IF(#REF!&lt;#REF!,#REF!,"")," ",IF(#REF!&lt;#REF!,#REF!,"")," ",IF(#REF!&lt;#REF!,#REF!,"")," ",IF(#REF!&lt;#REF!,#REF!,"")," ",IF(#REF!&lt;#REF!,#REF!,"")," ",IF(O10&lt;$I$7,$O$5,"")," ",IF(Z10&lt;$U$7,$Z$5,"")," ",IF(AH10&lt;$AA$7,$AH$5,"")," ",IF(AK10&lt;$AI$7,$AK$5,""))))</f>
        <v>Ajourné</v>
      </c>
    </row>
    <row r="11" spans="1:51" s="58" customFormat="1" ht="16.25" customHeight="1" x14ac:dyDescent="0.35">
      <c r="A11" s="51" t="s">
        <v>36</v>
      </c>
      <c r="B11" s="52" t="s">
        <v>86</v>
      </c>
      <c r="C11" s="70"/>
      <c r="D11" s="70" t="s">
        <v>165</v>
      </c>
      <c r="E11" s="79" t="s">
        <v>166</v>
      </c>
      <c r="F11" s="70"/>
      <c r="G11" s="52"/>
      <c r="H11" s="59"/>
      <c r="I11" s="54">
        <f t="shared" si="14"/>
        <v>10.6</v>
      </c>
      <c r="J11" s="52">
        <v>10</v>
      </c>
      <c r="K11" s="52">
        <v>14</v>
      </c>
      <c r="L11" s="52">
        <v>15</v>
      </c>
      <c r="M11" s="52">
        <v>14</v>
      </c>
      <c r="N11" s="52"/>
      <c r="O11" s="53">
        <f t="shared" si="15"/>
        <v>5</v>
      </c>
      <c r="P11" s="54">
        <f t="shared" si="16"/>
        <v>13</v>
      </c>
      <c r="Q11" s="52">
        <v>15</v>
      </c>
      <c r="R11" s="52">
        <v>13</v>
      </c>
      <c r="S11" s="52">
        <v>11</v>
      </c>
      <c r="T11" s="53">
        <f t="shared" si="17"/>
        <v>6</v>
      </c>
      <c r="U11" s="54">
        <f t="shared" si="18"/>
        <v>9.4</v>
      </c>
      <c r="V11" s="52">
        <v>8</v>
      </c>
      <c r="W11" s="52">
        <v>11</v>
      </c>
      <c r="X11" s="52">
        <v>12</v>
      </c>
      <c r="Y11" s="52">
        <v>8</v>
      </c>
      <c r="Z11" s="53">
        <f t="shared" si="19"/>
        <v>2</v>
      </c>
      <c r="AA11" s="54">
        <f t="shared" si="20"/>
        <v>7.666666666666667</v>
      </c>
      <c r="AB11" s="72">
        <v>12</v>
      </c>
      <c r="AC11" s="52"/>
      <c r="AD11" s="52">
        <v>10</v>
      </c>
      <c r="AE11" s="52"/>
      <c r="AF11" s="52">
        <v>10</v>
      </c>
      <c r="AG11" s="52">
        <v>14</v>
      </c>
      <c r="AH11" s="53">
        <f t="shared" si="21"/>
        <v>4</v>
      </c>
      <c r="AI11" s="54">
        <f t="shared" si="22"/>
        <v>14</v>
      </c>
      <c r="AJ11" s="52">
        <v>14</v>
      </c>
      <c r="AK11" s="53">
        <f t="shared" si="23"/>
        <v>8</v>
      </c>
      <c r="AL11" s="54">
        <f t="shared" si="24"/>
        <v>11.2</v>
      </c>
      <c r="AM11" s="57">
        <f t="shared" si="25"/>
        <v>25</v>
      </c>
      <c r="AN11" s="56"/>
      <c r="AO11" s="54">
        <f t="shared" si="26"/>
        <v>0</v>
      </c>
      <c r="AP11" s="52"/>
      <c r="AQ11" s="53">
        <f t="shared" si="27"/>
        <v>0</v>
      </c>
      <c r="AR11" s="54">
        <f t="shared" si="28"/>
        <v>0</v>
      </c>
      <c r="AS11" s="53">
        <f t="shared" si="29"/>
        <v>0</v>
      </c>
      <c r="AT11" s="54">
        <f t="shared" si="12"/>
        <v>5.6</v>
      </c>
      <c r="AU11" s="54">
        <f t="shared" ref="AU11:AU49" si="31">(AT11*$AT$7/$AT$6)*100</f>
        <v>28.000000000000004</v>
      </c>
      <c r="AV11" s="55" t="str">
        <f t="shared" si="30"/>
        <v>Non Validée</v>
      </c>
      <c r="AW11" s="54">
        <f t="shared" si="13"/>
        <v>25</v>
      </c>
      <c r="AX11" s="55" t="str">
        <f t="shared" ref="AX11:AX49" si="32">IF(AV11="Non Validé","Rattrapage",IF(AT11&gt;=18,"Excellent",IF(AND(AT11&gt;=16,AT11&lt;18),"Très Bien",IF(AND(AT11&gt;=14,AT11&lt;16),"Bien",IF(AND(AT11&gt;=12,AT11&lt;14),"Assez Bien",IF(AND(AT11&gt;=10,AT11&lt;12),"Passable",IF(AND(AT11&gt;=8,AT11&lt;10),"Insuffisant","Insatisfaisant")))))))</f>
        <v>Insatisfaisant</v>
      </c>
      <c r="AY11" s="50" t="str">
        <f>IF(AV11="Validée","Admis en L3 LMD",IF(OR(AX11="Insuffisant",AX11="Insatisfaisant"),"Ajourné",CONCATENATE("Admis en L3 LMD avec crédits à valider des UE :",IF(#REF!&lt;#REF!,#REF!,"")," ",IF(#REF!&lt;#REF!,#REF!,"")," ",IF(#REF!&lt;#REF!,#REF!,"")," ",IF(#REF!&lt;#REF!,#REF!,"")," ",IF(#REF!&lt;#REF!,#REF!,"")," ",IF(O11&lt;$I$7,$O$5,"")," ",IF(Z11&lt;$U$7,$Z$5,"")," ",IF(AH11&lt;$AA$7,$AH$5,"")," ",IF(AK11&lt;$AI$7,$AK$5,""))))</f>
        <v>Ajourné</v>
      </c>
    </row>
    <row r="12" spans="1:51" s="58" customFormat="1" ht="15.5" x14ac:dyDescent="0.35">
      <c r="A12" s="51" t="s">
        <v>37</v>
      </c>
      <c r="B12" s="52" t="s">
        <v>87</v>
      </c>
      <c r="C12" s="70"/>
      <c r="D12" s="70" t="s">
        <v>189</v>
      </c>
      <c r="E12" s="70" t="s">
        <v>164</v>
      </c>
      <c r="F12" s="70"/>
      <c r="G12" s="52"/>
      <c r="H12" s="59"/>
      <c r="I12" s="54">
        <f t="shared" si="14"/>
        <v>6.6</v>
      </c>
      <c r="J12" s="52">
        <v>7</v>
      </c>
      <c r="K12" s="52">
        <v>10</v>
      </c>
      <c r="L12" s="52">
        <v>13</v>
      </c>
      <c r="M12" s="52">
        <v>3</v>
      </c>
      <c r="N12" s="52"/>
      <c r="O12" s="53">
        <f t="shared" si="15"/>
        <v>2</v>
      </c>
      <c r="P12" s="54">
        <f t="shared" si="16"/>
        <v>7.333333333333333</v>
      </c>
      <c r="Q12" s="52">
        <v>0</v>
      </c>
      <c r="R12" s="52">
        <v>12</v>
      </c>
      <c r="S12" s="52">
        <v>10</v>
      </c>
      <c r="T12" s="53">
        <f t="shared" si="17"/>
        <v>4</v>
      </c>
      <c r="U12" s="54">
        <f t="shared" si="18"/>
        <v>9</v>
      </c>
      <c r="V12" s="52">
        <v>10</v>
      </c>
      <c r="W12" s="52">
        <v>3</v>
      </c>
      <c r="X12" s="52">
        <v>10</v>
      </c>
      <c r="Y12" s="52">
        <v>12</v>
      </c>
      <c r="Z12" s="53">
        <f t="shared" si="19"/>
        <v>4</v>
      </c>
      <c r="AA12" s="54">
        <f t="shared" si="20"/>
        <v>7.5</v>
      </c>
      <c r="AB12" s="72">
        <v>7</v>
      </c>
      <c r="AC12" s="52">
        <v>10</v>
      </c>
      <c r="AD12" s="52">
        <v>12</v>
      </c>
      <c r="AE12" s="52">
        <v>8</v>
      </c>
      <c r="AF12" s="52"/>
      <c r="AG12" s="52">
        <v>8</v>
      </c>
      <c r="AH12" s="53">
        <f t="shared" si="21"/>
        <v>2</v>
      </c>
      <c r="AI12" s="54">
        <f t="shared" si="22"/>
        <v>0</v>
      </c>
      <c r="AJ12" s="52"/>
      <c r="AK12" s="53">
        <f t="shared" si="23"/>
        <v>0</v>
      </c>
      <c r="AL12" s="54">
        <f t="shared" si="24"/>
        <v>5.5666666666666664</v>
      </c>
      <c r="AM12" s="57">
        <f t="shared" si="25"/>
        <v>12</v>
      </c>
      <c r="AN12" s="56"/>
      <c r="AO12" s="54">
        <f t="shared" si="26"/>
        <v>0</v>
      </c>
      <c r="AP12" s="52"/>
      <c r="AQ12" s="53">
        <f t="shared" si="27"/>
        <v>0</v>
      </c>
      <c r="AR12" s="54">
        <f t="shared" si="28"/>
        <v>0</v>
      </c>
      <c r="AS12" s="53">
        <f t="shared" si="29"/>
        <v>0</v>
      </c>
      <c r="AT12" s="54">
        <f t="shared" si="12"/>
        <v>2.7833333333333332</v>
      </c>
      <c r="AU12" s="54">
        <f t="shared" si="31"/>
        <v>13.916666666666666</v>
      </c>
      <c r="AV12" s="55" t="str">
        <f t="shared" si="30"/>
        <v>Non Validée</v>
      </c>
      <c r="AW12" s="54">
        <f t="shared" si="13"/>
        <v>12</v>
      </c>
      <c r="AX12" s="55" t="str">
        <f t="shared" si="32"/>
        <v>Insatisfaisant</v>
      </c>
      <c r="AY12" s="50" t="str">
        <f>IF(AV12="Validée","Admis en L3 LMD",IF(OR(AX12="Insuffisant",AX12="Insatisfaisant"),"Ajourné",CONCATENATE("Admis en L3 LMD avec crédits à valider des UE :",IF(#REF!&lt;#REF!,#REF!,"")," ",IF(#REF!&lt;#REF!,#REF!,"")," ",IF(#REF!&lt;#REF!,#REF!,"")," ",IF(#REF!&lt;#REF!,#REF!,"")," ",IF(#REF!&lt;#REF!,#REF!,"")," ",IF(O12&lt;$I$7,$O$5,"")," ",IF(Z12&lt;$U$7,$Z$5,"")," ",IF(AH12&lt;$AA$7,$AH$5,"")," ",IF(AK12&lt;$AI$7,$AK$5,""))))</f>
        <v>Ajourné</v>
      </c>
    </row>
    <row r="13" spans="1:51" s="58" customFormat="1" ht="18" customHeight="1" x14ac:dyDescent="0.35">
      <c r="A13" s="51" t="s">
        <v>38</v>
      </c>
      <c r="B13" s="52" t="s">
        <v>88</v>
      </c>
      <c r="C13" s="70"/>
      <c r="D13" s="70" t="s">
        <v>167</v>
      </c>
      <c r="E13" s="70" t="s">
        <v>168</v>
      </c>
      <c r="F13" s="70"/>
      <c r="G13" s="52"/>
      <c r="H13" s="52"/>
      <c r="I13" s="54">
        <f t="shared" si="14"/>
        <v>7.4</v>
      </c>
      <c r="J13" s="52">
        <v>6</v>
      </c>
      <c r="K13" s="52">
        <v>6</v>
      </c>
      <c r="L13" s="52">
        <v>8</v>
      </c>
      <c r="M13" s="52">
        <v>6</v>
      </c>
      <c r="N13" s="52">
        <v>11</v>
      </c>
      <c r="O13" s="53">
        <f t="shared" si="15"/>
        <v>1</v>
      </c>
      <c r="P13" s="54">
        <f t="shared" si="16"/>
        <v>8.3333333333333339</v>
      </c>
      <c r="Q13" s="52">
        <v>0</v>
      </c>
      <c r="R13" s="52">
        <v>12</v>
      </c>
      <c r="S13" s="52">
        <v>13</v>
      </c>
      <c r="T13" s="53">
        <f t="shared" si="17"/>
        <v>4</v>
      </c>
      <c r="U13" s="54">
        <f t="shared" si="18"/>
        <v>7.2</v>
      </c>
      <c r="V13" s="52">
        <v>8</v>
      </c>
      <c r="W13" s="52">
        <v>0</v>
      </c>
      <c r="X13" s="52">
        <v>6</v>
      </c>
      <c r="Y13" s="52">
        <v>14</v>
      </c>
      <c r="Z13" s="53">
        <f t="shared" si="19"/>
        <v>1</v>
      </c>
      <c r="AA13" s="54">
        <f t="shared" si="20"/>
        <v>7.166666666666667</v>
      </c>
      <c r="AB13" s="72">
        <v>6</v>
      </c>
      <c r="AC13" s="52">
        <v>10</v>
      </c>
      <c r="AD13" s="52">
        <v>10</v>
      </c>
      <c r="AE13" s="52">
        <v>11</v>
      </c>
      <c r="AF13" s="52"/>
      <c r="AG13" s="52">
        <v>6</v>
      </c>
      <c r="AH13" s="53">
        <f t="shared" si="21"/>
        <v>3</v>
      </c>
      <c r="AI13" s="54">
        <f t="shared" si="22"/>
        <v>0</v>
      </c>
      <c r="AJ13" s="52"/>
      <c r="AK13" s="53">
        <f t="shared" si="23"/>
        <v>0</v>
      </c>
      <c r="AL13" s="54">
        <f t="shared" si="24"/>
        <v>5.5333333333333332</v>
      </c>
      <c r="AM13" s="57">
        <f t="shared" si="25"/>
        <v>9</v>
      </c>
      <c r="AN13" s="56"/>
      <c r="AO13" s="54">
        <f t="shared" si="26"/>
        <v>0</v>
      </c>
      <c r="AP13" s="52"/>
      <c r="AQ13" s="53">
        <f t="shared" si="27"/>
        <v>0</v>
      </c>
      <c r="AR13" s="54">
        <f t="shared" si="28"/>
        <v>0</v>
      </c>
      <c r="AS13" s="53">
        <f t="shared" si="29"/>
        <v>0</v>
      </c>
      <c r="AT13" s="54">
        <f t="shared" si="12"/>
        <v>2.7666666666666666</v>
      </c>
      <c r="AU13" s="54">
        <f t="shared" si="31"/>
        <v>13.833333333333334</v>
      </c>
      <c r="AV13" s="55" t="str">
        <f t="shared" si="30"/>
        <v>Non Validée</v>
      </c>
      <c r="AW13" s="54">
        <f t="shared" si="13"/>
        <v>9</v>
      </c>
      <c r="AX13" s="55" t="str">
        <f t="shared" si="32"/>
        <v>Insatisfaisant</v>
      </c>
      <c r="AY13" s="50" t="str">
        <f>IF(AV13="Validée","Admis en L3 LMD",IF(OR(AX13="Insuffisant",AX13="Insatisfaisant"),"Ajourné",CONCATENATE("Admis en L3 LMD avec crédits à valider des UE :",IF(#REF!&lt;#REF!,#REF!,"")," ",IF(#REF!&lt;#REF!,#REF!,"")," ",IF(#REF!&lt;#REF!,#REF!,"")," ",IF(#REF!&lt;#REF!,#REF!,"")," ",IF(#REF!&lt;#REF!,#REF!,"")," ",IF(O13&lt;$I$7,$O$5,"")," ",IF(Z13&lt;$U$7,$Z$5,"")," ",IF(AH13&lt;$AA$7,$AH$5,"")," ",IF(AK13&lt;$AI$7,$AK$5,""))))</f>
        <v>Ajourné</v>
      </c>
    </row>
    <row r="14" spans="1:51" s="58" customFormat="1" ht="15.5" x14ac:dyDescent="0.35">
      <c r="A14" s="51" t="s">
        <v>39</v>
      </c>
      <c r="B14" s="52" t="s">
        <v>89</v>
      </c>
      <c r="C14" s="70"/>
      <c r="D14" s="70" t="s">
        <v>169</v>
      </c>
      <c r="E14" s="70" t="s">
        <v>170</v>
      </c>
      <c r="F14" s="70"/>
      <c r="G14" s="52"/>
      <c r="H14" s="52"/>
      <c r="I14" s="54">
        <f t="shared" si="14"/>
        <v>9.1999999999999993</v>
      </c>
      <c r="J14" s="52">
        <v>8</v>
      </c>
      <c r="K14" s="52">
        <v>10</v>
      </c>
      <c r="L14" s="52">
        <v>12</v>
      </c>
      <c r="M14" s="52">
        <v>5</v>
      </c>
      <c r="N14" s="52">
        <v>11</v>
      </c>
      <c r="O14" s="53">
        <f t="shared" si="15"/>
        <v>3</v>
      </c>
      <c r="P14" s="54">
        <f t="shared" si="16"/>
        <v>6</v>
      </c>
      <c r="Q14" s="52">
        <v>0</v>
      </c>
      <c r="R14" s="52">
        <v>9</v>
      </c>
      <c r="S14" s="52">
        <v>9</v>
      </c>
      <c r="T14" s="53">
        <f t="shared" si="17"/>
        <v>0</v>
      </c>
      <c r="U14" s="54">
        <f t="shared" si="18"/>
        <v>8</v>
      </c>
      <c r="V14" s="52">
        <v>12</v>
      </c>
      <c r="W14" s="52">
        <v>8</v>
      </c>
      <c r="X14" s="52">
        <v>0</v>
      </c>
      <c r="Y14" s="52">
        <v>8</v>
      </c>
      <c r="Z14" s="53">
        <f t="shared" si="19"/>
        <v>2</v>
      </c>
      <c r="AA14" s="54">
        <f t="shared" si="20"/>
        <v>6.333333333333333</v>
      </c>
      <c r="AB14" s="72">
        <v>0</v>
      </c>
      <c r="AC14" s="52">
        <v>10</v>
      </c>
      <c r="AD14" s="52">
        <v>10</v>
      </c>
      <c r="AE14" s="52">
        <v>10</v>
      </c>
      <c r="AF14" s="52"/>
      <c r="AG14" s="52">
        <v>8</v>
      </c>
      <c r="AH14" s="53">
        <f t="shared" si="21"/>
        <v>3</v>
      </c>
      <c r="AI14" s="54">
        <f t="shared" si="22"/>
        <v>0</v>
      </c>
      <c r="AJ14" s="52"/>
      <c r="AK14" s="53">
        <f t="shared" si="23"/>
        <v>0</v>
      </c>
      <c r="AL14" s="54">
        <f t="shared" si="24"/>
        <v>5.333333333333333</v>
      </c>
      <c r="AM14" s="57">
        <f t="shared" si="25"/>
        <v>8</v>
      </c>
      <c r="AN14" s="56"/>
      <c r="AO14" s="54">
        <f t="shared" si="26"/>
        <v>0</v>
      </c>
      <c r="AP14" s="52"/>
      <c r="AQ14" s="53">
        <f t="shared" si="27"/>
        <v>0</v>
      </c>
      <c r="AR14" s="54">
        <f t="shared" si="28"/>
        <v>0</v>
      </c>
      <c r="AS14" s="53">
        <f t="shared" si="29"/>
        <v>0</v>
      </c>
      <c r="AT14" s="54">
        <f t="shared" si="12"/>
        <v>2.6666666666666665</v>
      </c>
      <c r="AU14" s="54">
        <f t="shared" si="31"/>
        <v>13.333333333333334</v>
      </c>
      <c r="AV14" s="55" t="str">
        <f t="shared" si="30"/>
        <v>Non Validée</v>
      </c>
      <c r="AW14" s="54">
        <f t="shared" si="13"/>
        <v>8</v>
      </c>
      <c r="AX14" s="55" t="str">
        <f t="shared" si="32"/>
        <v>Insatisfaisant</v>
      </c>
      <c r="AY14" s="50" t="str">
        <f>IF(AV14="Validée","Admis en L3 LMD",IF(OR(AX14="Insuffisant",AX14="Insatisfaisant"),"Ajourné",CONCATENATE("Admis en L3 LMD avec crédits à valider des UE :",IF(#REF!&lt;#REF!,#REF!,"")," ",IF(#REF!&lt;#REF!,#REF!,"")," ",IF(#REF!&lt;#REF!,#REF!,"")," ",IF(#REF!&lt;#REF!,#REF!,"")," ",IF(#REF!&lt;#REF!,#REF!,"")," ",IF(O14&lt;$I$7,$O$5,"")," ",IF(Z14&lt;$U$7,$Z$5,"")," ",IF(AH14&lt;$AA$7,$AH$5,"")," ",IF(AK14&lt;$AI$7,$AK$5,""))))</f>
        <v>Ajourné</v>
      </c>
    </row>
    <row r="15" spans="1:51" s="58" customFormat="1" ht="15.5" x14ac:dyDescent="0.35">
      <c r="A15" s="51" t="s">
        <v>40</v>
      </c>
      <c r="B15" s="52" t="s">
        <v>90</v>
      </c>
      <c r="C15" s="70"/>
      <c r="D15" s="70" t="s">
        <v>171</v>
      </c>
      <c r="E15" s="70" t="s">
        <v>172</v>
      </c>
      <c r="F15" s="70"/>
      <c r="G15" s="52"/>
      <c r="H15" s="52"/>
      <c r="I15" s="54">
        <f t="shared" si="14"/>
        <v>6.8</v>
      </c>
      <c r="J15" s="52">
        <v>11</v>
      </c>
      <c r="K15" s="52"/>
      <c r="L15" s="52">
        <v>10</v>
      </c>
      <c r="M15" s="52">
        <v>13</v>
      </c>
      <c r="N15" s="52"/>
      <c r="O15" s="53">
        <f t="shared" si="15"/>
        <v>3</v>
      </c>
      <c r="P15" s="54">
        <f t="shared" si="16"/>
        <v>8.3333333333333339</v>
      </c>
      <c r="Q15" s="52">
        <v>13</v>
      </c>
      <c r="R15" s="52"/>
      <c r="S15" s="52">
        <v>12</v>
      </c>
      <c r="T15" s="53">
        <f t="shared" si="17"/>
        <v>4</v>
      </c>
      <c r="U15" s="54">
        <f t="shared" si="18"/>
        <v>11.8</v>
      </c>
      <c r="V15" s="52">
        <v>11</v>
      </c>
      <c r="W15" s="52">
        <v>10</v>
      </c>
      <c r="X15" s="52">
        <v>16</v>
      </c>
      <c r="Y15" s="52">
        <v>11</v>
      </c>
      <c r="Z15" s="53">
        <f t="shared" si="19"/>
        <v>5</v>
      </c>
      <c r="AA15" s="54">
        <f t="shared" si="20"/>
        <v>6.666666666666667</v>
      </c>
      <c r="AB15" s="72">
        <v>16</v>
      </c>
      <c r="AC15" s="52"/>
      <c r="AD15" s="52">
        <v>13</v>
      </c>
      <c r="AE15" s="52"/>
      <c r="AF15" s="52"/>
      <c r="AG15" s="52">
        <v>11</v>
      </c>
      <c r="AH15" s="53">
        <f t="shared" si="21"/>
        <v>3</v>
      </c>
      <c r="AI15" s="54">
        <f t="shared" si="22"/>
        <v>0</v>
      </c>
      <c r="AJ15" s="52"/>
      <c r="AK15" s="53">
        <f t="shared" si="23"/>
        <v>0</v>
      </c>
      <c r="AL15" s="54">
        <f t="shared" si="24"/>
        <v>6.1</v>
      </c>
      <c r="AM15" s="57">
        <f t="shared" si="25"/>
        <v>15</v>
      </c>
      <c r="AN15" s="56"/>
      <c r="AO15" s="54">
        <f t="shared" si="26"/>
        <v>0</v>
      </c>
      <c r="AP15" s="52"/>
      <c r="AQ15" s="53">
        <f t="shared" si="27"/>
        <v>0</v>
      </c>
      <c r="AR15" s="54">
        <f t="shared" si="28"/>
        <v>0</v>
      </c>
      <c r="AS15" s="53">
        <f t="shared" si="29"/>
        <v>0</v>
      </c>
      <c r="AT15" s="54">
        <f t="shared" si="12"/>
        <v>3.05</v>
      </c>
      <c r="AU15" s="54">
        <f t="shared" si="31"/>
        <v>15.25</v>
      </c>
      <c r="AV15" s="55" t="str">
        <f t="shared" si="30"/>
        <v>Non Validée</v>
      </c>
      <c r="AW15" s="54">
        <f t="shared" si="13"/>
        <v>15</v>
      </c>
      <c r="AX15" s="55" t="str">
        <f t="shared" si="32"/>
        <v>Insatisfaisant</v>
      </c>
      <c r="AY15" s="50" t="str">
        <f>IF(AV15="Validée","Admis en L3 LMD",IF(OR(AX15="Insuffisant",AX15="Insatisfaisant"),"Ajourné",CONCATENATE("Admis en L3 LMD avec crédits à valider des UE :",IF(#REF!&lt;#REF!,#REF!,"")," ",IF(#REF!&lt;#REF!,#REF!,"")," ",IF(#REF!&lt;#REF!,#REF!,"")," ",IF(#REF!&lt;#REF!,#REF!,"")," ",IF(#REF!&lt;#REF!,#REF!,"")," ",IF(O15&lt;$I$7,$O$5,"")," ",IF(Z15&lt;$U$7,$Z$5,"")," ",IF(AH15&lt;$AA$7,$AH$5,"")," ",IF(AK15&lt;$AI$7,$AK$5,""))))</f>
        <v>Ajourné</v>
      </c>
    </row>
    <row r="16" spans="1:51" s="58" customFormat="1" ht="15.5" x14ac:dyDescent="0.35">
      <c r="A16" s="51" t="s">
        <v>41</v>
      </c>
      <c r="B16" s="52" t="s">
        <v>91</v>
      </c>
      <c r="C16" s="70"/>
      <c r="D16" s="70" t="s">
        <v>173</v>
      </c>
      <c r="E16" s="70" t="s">
        <v>174</v>
      </c>
      <c r="F16" s="70"/>
      <c r="G16" s="52"/>
      <c r="H16" s="52"/>
      <c r="I16" s="54">
        <f t="shared" si="14"/>
        <v>8</v>
      </c>
      <c r="J16" s="52">
        <v>7</v>
      </c>
      <c r="K16" s="52">
        <v>8</v>
      </c>
      <c r="L16" s="52">
        <v>2</v>
      </c>
      <c r="M16" s="52">
        <v>9</v>
      </c>
      <c r="N16" s="52">
        <v>14</v>
      </c>
      <c r="O16" s="53">
        <f t="shared" si="15"/>
        <v>1</v>
      </c>
      <c r="P16" s="54">
        <f t="shared" si="16"/>
        <v>2.3333333333333335</v>
      </c>
      <c r="Q16" s="52">
        <v>2</v>
      </c>
      <c r="R16" s="52">
        <v>0</v>
      </c>
      <c r="S16" s="52">
        <v>5</v>
      </c>
      <c r="T16" s="53">
        <f t="shared" si="17"/>
        <v>0</v>
      </c>
      <c r="U16" s="54">
        <f t="shared" si="18"/>
        <v>6.2</v>
      </c>
      <c r="V16" s="52">
        <v>8</v>
      </c>
      <c r="W16" s="52">
        <v>2</v>
      </c>
      <c r="X16" s="52">
        <v>0</v>
      </c>
      <c r="Y16" s="52">
        <v>13</v>
      </c>
      <c r="Z16" s="53">
        <f t="shared" si="19"/>
        <v>1</v>
      </c>
      <c r="AA16" s="54">
        <f t="shared" si="20"/>
        <v>3.5</v>
      </c>
      <c r="AB16" s="72">
        <v>6</v>
      </c>
      <c r="AC16" s="52"/>
      <c r="AD16" s="52">
        <v>10</v>
      </c>
      <c r="AE16" s="52"/>
      <c r="AF16" s="52"/>
      <c r="AG16" s="52">
        <v>5</v>
      </c>
      <c r="AH16" s="53">
        <f t="shared" si="21"/>
        <v>1</v>
      </c>
      <c r="AI16" s="54">
        <f t="shared" si="22"/>
        <v>0</v>
      </c>
      <c r="AJ16" s="52"/>
      <c r="AK16" s="53">
        <f t="shared" si="23"/>
        <v>0</v>
      </c>
      <c r="AL16" s="54">
        <f t="shared" si="24"/>
        <v>3.5333333333333332</v>
      </c>
      <c r="AM16" s="57">
        <f t="shared" si="25"/>
        <v>3</v>
      </c>
      <c r="AN16" s="56"/>
      <c r="AO16" s="54">
        <f t="shared" si="26"/>
        <v>0</v>
      </c>
      <c r="AP16" s="52"/>
      <c r="AQ16" s="53">
        <f t="shared" si="27"/>
        <v>0</v>
      </c>
      <c r="AR16" s="54">
        <f t="shared" si="28"/>
        <v>0</v>
      </c>
      <c r="AS16" s="53">
        <f t="shared" si="29"/>
        <v>0</v>
      </c>
      <c r="AT16" s="54">
        <f t="shared" si="12"/>
        <v>1.7666666666666666</v>
      </c>
      <c r="AU16" s="54">
        <f t="shared" si="31"/>
        <v>8.8333333333333339</v>
      </c>
      <c r="AV16" s="55" t="str">
        <f t="shared" si="30"/>
        <v>Non Validée</v>
      </c>
      <c r="AW16" s="54">
        <f t="shared" si="13"/>
        <v>3</v>
      </c>
      <c r="AX16" s="55" t="str">
        <f t="shared" si="32"/>
        <v>Insatisfaisant</v>
      </c>
      <c r="AY16" s="50" t="str">
        <f>IF(AV16="Validée","Admis en L3 LMD",IF(OR(AX16="Insuffisant",AX16="Insatisfaisant"),"Ajourné",CONCATENATE("Admis en L3 LMD avec crédits à valider des UE :",IF(#REF!&lt;#REF!,#REF!,"")," ",IF(#REF!&lt;#REF!,#REF!,"")," ",IF(#REF!&lt;#REF!,#REF!,"")," ",IF(#REF!&lt;#REF!,#REF!,"")," ",IF(#REF!&lt;#REF!,#REF!,"")," ",IF(O16&lt;$I$7,$O$5,"")," ",IF(Z16&lt;$U$7,$Z$5,"")," ",IF(AH16&lt;$AA$7,$AH$5,"")," ",IF(AK16&lt;$AI$7,$AK$5,""))))</f>
        <v>Ajourné</v>
      </c>
    </row>
    <row r="17" spans="1:51" s="58" customFormat="1" ht="14.4" customHeight="1" x14ac:dyDescent="0.35">
      <c r="A17" s="51" t="s">
        <v>42</v>
      </c>
      <c r="B17" s="52" t="s">
        <v>92</v>
      </c>
      <c r="C17" s="70"/>
      <c r="D17" s="70" t="s">
        <v>175</v>
      </c>
      <c r="E17" s="70" t="s">
        <v>176</v>
      </c>
      <c r="F17" s="70"/>
      <c r="G17" s="52"/>
      <c r="H17" s="52"/>
      <c r="I17" s="54">
        <f t="shared" si="14"/>
        <v>7</v>
      </c>
      <c r="J17" s="52"/>
      <c r="K17" s="52">
        <v>14</v>
      </c>
      <c r="L17" s="52">
        <v>12</v>
      </c>
      <c r="M17" s="52">
        <v>9</v>
      </c>
      <c r="N17" s="52"/>
      <c r="O17" s="53">
        <f t="shared" si="15"/>
        <v>2</v>
      </c>
      <c r="P17" s="54">
        <f t="shared" si="16"/>
        <v>12.333333333333334</v>
      </c>
      <c r="Q17" s="52">
        <v>13</v>
      </c>
      <c r="R17" s="52">
        <v>13</v>
      </c>
      <c r="S17" s="52">
        <v>11</v>
      </c>
      <c r="T17" s="53">
        <f t="shared" si="17"/>
        <v>6</v>
      </c>
      <c r="U17" s="54">
        <f t="shared" si="18"/>
        <v>11.2</v>
      </c>
      <c r="V17" s="52">
        <v>9</v>
      </c>
      <c r="W17" s="52">
        <v>11</v>
      </c>
      <c r="X17" s="52">
        <v>13</v>
      </c>
      <c r="Y17" s="52">
        <v>14</v>
      </c>
      <c r="Z17" s="53">
        <f t="shared" si="19"/>
        <v>5</v>
      </c>
      <c r="AA17" s="54">
        <f t="shared" si="20"/>
        <v>5</v>
      </c>
      <c r="AB17" s="72">
        <v>8</v>
      </c>
      <c r="AC17" s="52"/>
      <c r="AD17" s="52">
        <v>10</v>
      </c>
      <c r="AE17" s="52"/>
      <c r="AF17" s="52">
        <v>12</v>
      </c>
      <c r="AG17" s="52"/>
      <c r="AH17" s="53">
        <f t="shared" si="21"/>
        <v>2</v>
      </c>
      <c r="AI17" s="54">
        <f t="shared" si="22"/>
        <v>0</v>
      </c>
      <c r="AJ17" s="52"/>
      <c r="AK17" s="53">
        <f t="shared" si="23"/>
        <v>0</v>
      </c>
      <c r="AL17" s="54">
        <f t="shared" si="24"/>
        <v>6.5</v>
      </c>
      <c r="AM17" s="57">
        <f t="shared" si="25"/>
        <v>15</v>
      </c>
      <c r="AN17" s="56"/>
      <c r="AO17" s="54">
        <f t="shared" si="26"/>
        <v>0</v>
      </c>
      <c r="AP17" s="52"/>
      <c r="AQ17" s="53">
        <f t="shared" si="27"/>
        <v>0</v>
      </c>
      <c r="AR17" s="54">
        <f t="shared" si="28"/>
        <v>0</v>
      </c>
      <c r="AS17" s="53">
        <f t="shared" si="29"/>
        <v>0</v>
      </c>
      <c r="AT17" s="54">
        <f t="shared" si="12"/>
        <v>3.25</v>
      </c>
      <c r="AU17" s="54">
        <f t="shared" si="31"/>
        <v>16.25</v>
      </c>
      <c r="AV17" s="55" t="str">
        <f t="shared" si="30"/>
        <v>Non Validée</v>
      </c>
      <c r="AW17" s="54">
        <f t="shared" si="13"/>
        <v>15</v>
      </c>
      <c r="AX17" s="55" t="str">
        <f t="shared" si="32"/>
        <v>Insatisfaisant</v>
      </c>
      <c r="AY17" s="50" t="str">
        <f>IF(AV17="Validée","Admis en L3 LMD",IF(OR(AX17="Insuffisant",AX17="Insatisfaisant"),"Ajourné",CONCATENATE("Admis en L3 LMD avec crédits à valider des UE :",IF(#REF!&lt;#REF!,#REF!,"")," ",IF(#REF!&lt;#REF!,#REF!,"")," ",IF(#REF!&lt;#REF!,#REF!,"")," ",IF(#REF!&lt;#REF!,#REF!,"")," ",IF(#REF!&lt;#REF!,#REF!,"")," ",IF(O17&lt;$I$7,$O$5,"")," ",IF(Z17&lt;$U$7,$Z$5,"")," ",IF(AH17&lt;$AA$7,$AH$5,"")," ",IF(AK17&lt;$AI$7,$AK$5,""))))</f>
        <v>Ajourné</v>
      </c>
    </row>
    <row r="18" spans="1:51" s="58" customFormat="1" ht="15.5" x14ac:dyDescent="0.35">
      <c r="A18" s="51" t="s">
        <v>43</v>
      </c>
      <c r="B18" s="52" t="s">
        <v>93</v>
      </c>
      <c r="C18" s="70"/>
      <c r="D18" s="70" t="s">
        <v>177</v>
      </c>
      <c r="E18" s="70" t="s">
        <v>178</v>
      </c>
      <c r="F18" s="70"/>
      <c r="G18" s="52"/>
      <c r="H18" s="52"/>
      <c r="I18" s="54">
        <f t="shared" si="14"/>
        <v>9.6</v>
      </c>
      <c r="J18" s="52">
        <v>15</v>
      </c>
      <c r="K18" s="52">
        <v>6</v>
      </c>
      <c r="L18" s="52">
        <v>13</v>
      </c>
      <c r="M18" s="52">
        <v>3</v>
      </c>
      <c r="N18" s="52">
        <v>11</v>
      </c>
      <c r="O18" s="53">
        <f t="shared" si="15"/>
        <v>3</v>
      </c>
      <c r="P18" s="54">
        <f t="shared" si="16"/>
        <v>6</v>
      </c>
      <c r="Q18" s="52">
        <v>6</v>
      </c>
      <c r="R18" s="52">
        <v>0</v>
      </c>
      <c r="S18" s="52">
        <v>12</v>
      </c>
      <c r="T18" s="53">
        <f t="shared" si="17"/>
        <v>2</v>
      </c>
      <c r="U18" s="54">
        <f t="shared" si="18"/>
        <v>3.4</v>
      </c>
      <c r="V18" s="52">
        <v>0</v>
      </c>
      <c r="W18" s="52">
        <v>3</v>
      </c>
      <c r="X18" s="52">
        <v>0</v>
      </c>
      <c r="Y18" s="52">
        <v>14</v>
      </c>
      <c r="Z18" s="53">
        <f t="shared" si="19"/>
        <v>1</v>
      </c>
      <c r="AA18" s="54">
        <f t="shared" si="20"/>
        <v>9</v>
      </c>
      <c r="AB18" s="72">
        <v>0</v>
      </c>
      <c r="AC18" s="52">
        <v>14</v>
      </c>
      <c r="AD18" s="52">
        <v>12</v>
      </c>
      <c r="AE18" s="52">
        <v>14</v>
      </c>
      <c r="AF18" s="52"/>
      <c r="AG18" s="52">
        <v>14</v>
      </c>
      <c r="AH18" s="53">
        <f t="shared" si="21"/>
        <v>4</v>
      </c>
      <c r="AI18" s="54">
        <f t="shared" si="22"/>
        <v>0</v>
      </c>
      <c r="AJ18" s="52"/>
      <c r="AK18" s="53">
        <f t="shared" si="23"/>
        <v>0</v>
      </c>
      <c r="AL18" s="54">
        <f t="shared" si="24"/>
        <v>5.166666666666667</v>
      </c>
      <c r="AM18" s="57">
        <f t="shared" si="25"/>
        <v>10</v>
      </c>
      <c r="AN18" s="56"/>
      <c r="AO18" s="54">
        <f t="shared" si="26"/>
        <v>0</v>
      </c>
      <c r="AP18" s="52"/>
      <c r="AQ18" s="53">
        <f t="shared" si="27"/>
        <v>0</v>
      </c>
      <c r="AR18" s="54">
        <f t="shared" si="28"/>
        <v>0</v>
      </c>
      <c r="AS18" s="53">
        <f t="shared" si="29"/>
        <v>0</v>
      </c>
      <c r="AT18" s="54">
        <f t="shared" si="12"/>
        <v>2.5833333333333335</v>
      </c>
      <c r="AU18" s="54">
        <f t="shared" si="31"/>
        <v>12.916666666666668</v>
      </c>
      <c r="AV18" s="55" t="str">
        <f t="shared" si="30"/>
        <v>Non Validée</v>
      </c>
      <c r="AW18" s="54">
        <f t="shared" si="13"/>
        <v>10</v>
      </c>
      <c r="AX18" s="55" t="str">
        <f t="shared" si="32"/>
        <v>Insatisfaisant</v>
      </c>
      <c r="AY18" s="50" t="str">
        <f>IF(AV18="Validée","Admis en L3 LMD",IF(OR(AX18="Insuffisant",AX18="Insatisfaisant"),"Ajourné",CONCATENATE("Admis en L3 LMD avec crédits à valider des UE :",IF(#REF!&lt;#REF!,#REF!,"")," ",IF(#REF!&lt;#REF!,#REF!,"")," ",IF(#REF!&lt;#REF!,#REF!,"")," ",IF(#REF!&lt;#REF!,#REF!,"")," ",IF(#REF!&lt;#REF!,#REF!,"")," ",IF(O18&lt;$I$7,$O$5,"")," ",IF(Z18&lt;$U$7,$Z$5,"")," ",IF(AH18&lt;$AA$7,$AH$5,"")," ",IF(AK18&lt;$AI$7,$AK$5,""))))</f>
        <v>Ajourné</v>
      </c>
    </row>
    <row r="19" spans="1:51" s="58" customFormat="1" ht="15.5" x14ac:dyDescent="0.35">
      <c r="A19" s="51" t="s">
        <v>44</v>
      </c>
      <c r="B19" s="52" t="s">
        <v>94</v>
      </c>
      <c r="C19" s="70"/>
      <c r="D19" s="70" t="s">
        <v>179</v>
      </c>
      <c r="E19" s="70" t="s">
        <v>180</v>
      </c>
      <c r="F19" s="70"/>
      <c r="G19" s="52"/>
      <c r="H19" s="52"/>
      <c r="I19" s="54">
        <f t="shared" si="14"/>
        <v>5.2</v>
      </c>
      <c r="J19" s="52"/>
      <c r="K19" s="52">
        <v>10</v>
      </c>
      <c r="L19" s="52">
        <v>10</v>
      </c>
      <c r="M19" s="52">
        <v>6</v>
      </c>
      <c r="N19" s="52"/>
      <c r="O19" s="53">
        <f t="shared" si="15"/>
        <v>2</v>
      </c>
      <c r="P19" s="54">
        <f t="shared" si="16"/>
        <v>7.333333333333333</v>
      </c>
      <c r="Q19" s="52">
        <v>0</v>
      </c>
      <c r="R19" s="52">
        <v>12</v>
      </c>
      <c r="S19" s="52">
        <v>10</v>
      </c>
      <c r="T19" s="53">
        <f t="shared" si="17"/>
        <v>4</v>
      </c>
      <c r="U19" s="54">
        <f t="shared" si="18"/>
        <v>8.6</v>
      </c>
      <c r="V19" s="52">
        <v>9</v>
      </c>
      <c r="W19" s="52">
        <v>11</v>
      </c>
      <c r="X19" s="52">
        <v>0</v>
      </c>
      <c r="Y19" s="52">
        <v>14</v>
      </c>
      <c r="Z19" s="53">
        <f t="shared" si="19"/>
        <v>2</v>
      </c>
      <c r="AA19" s="54">
        <f t="shared" si="20"/>
        <v>6.666666666666667</v>
      </c>
      <c r="AB19" s="72">
        <v>5</v>
      </c>
      <c r="AC19" s="52">
        <v>14</v>
      </c>
      <c r="AD19" s="52">
        <v>12</v>
      </c>
      <c r="AE19" s="52"/>
      <c r="AF19" s="52"/>
      <c r="AG19" s="52">
        <v>9</v>
      </c>
      <c r="AH19" s="53">
        <f t="shared" si="21"/>
        <v>2</v>
      </c>
      <c r="AI19" s="54">
        <f t="shared" si="22"/>
        <v>0</v>
      </c>
      <c r="AJ19" s="52"/>
      <c r="AK19" s="53">
        <f t="shared" si="23"/>
        <v>0</v>
      </c>
      <c r="AL19" s="54">
        <f t="shared" si="24"/>
        <v>5.0999999999999996</v>
      </c>
      <c r="AM19" s="57">
        <f t="shared" si="25"/>
        <v>10</v>
      </c>
      <c r="AN19" s="56"/>
      <c r="AO19" s="54">
        <f t="shared" si="26"/>
        <v>0</v>
      </c>
      <c r="AP19" s="52"/>
      <c r="AQ19" s="53">
        <f t="shared" si="27"/>
        <v>0</v>
      </c>
      <c r="AR19" s="54">
        <f t="shared" si="28"/>
        <v>0</v>
      </c>
      <c r="AS19" s="53">
        <f t="shared" si="29"/>
        <v>0</v>
      </c>
      <c r="AT19" s="54">
        <f t="shared" si="12"/>
        <v>2.5499999999999998</v>
      </c>
      <c r="AU19" s="54">
        <f t="shared" si="31"/>
        <v>12.75</v>
      </c>
      <c r="AV19" s="55" t="str">
        <f t="shared" si="30"/>
        <v>Non Validée</v>
      </c>
      <c r="AW19" s="54">
        <f t="shared" si="13"/>
        <v>10</v>
      </c>
      <c r="AX19" s="55" t="str">
        <f t="shared" si="32"/>
        <v>Insatisfaisant</v>
      </c>
      <c r="AY19" s="50" t="str">
        <f>IF(AV19="Validée","Admis en L3 LMD",IF(OR(AX19="Insuffisant",AX19="Insatisfaisant"),"Ajourné",CONCATENATE("Admis en L3 LMD avec crédits à valider des UE :",IF(#REF!&lt;#REF!,#REF!,"")," ",IF(#REF!&lt;#REF!,#REF!,"")," ",IF(#REF!&lt;#REF!,#REF!,"")," ",IF(#REF!&lt;#REF!,#REF!,"")," ",IF(#REF!&lt;#REF!,#REF!,"")," ",IF(O19&lt;$I$7,$O$5,"")," ",IF(Z19&lt;$U$7,$Z$5,"")," ",IF(AH19&lt;$AA$7,$AH$5,"")," ",IF(AK19&lt;$AI$7,$AK$5,""))))</f>
        <v>Ajourné</v>
      </c>
    </row>
    <row r="20" spans="1:51" s="58" customFormat="1" ht="16.75" customHeight="1" x14ac:dyDescent="0.35">
      <c r="A20" s="51" t="s">
        <v>45</v>
      </c>
      <c r="B20" s="52" t="s">
        <v>95</v>
      </c>
      <c r="C20" s="70"/>
      <c r="D20" s="70" t="s">
        <v>181</v>
      </c>
      <c r="E20" s="70" t="s">
        <v>182</v>
      </c>
      <c r="F20" s="70"/>
      <c r="G20" s="52"/>
      <c r="H20" s="52"/>
      <c r="I20" s="54">
        <f t="shared" si="14"/>
        <v>9</v>
      </c>
      <c r="J20" s="52">
        <v>6</v>
      </c>
      <c r="K20" s="52">
        <v>12</v>
      </c>
      <c r="L20" s="52">
        <v>10</v>
      </c>
      <c r="M20" s="52">
        <v>6</v>
      </c>
      <c r="N20" s="52">
        <v>11</v>
      </c>
      <c r="O20" s="53">
        <f t="shared" si="15"/>
        <v>3</v>
      </c>
      <c r="P20" s="54">
        <f t="shared" si="16"/>
        <v>7.666666666666667</v>
      </c>
      <c r="Q20" s="52">
        <v>6</v>
      </c>
      <c r="R20" s="52">
        <v>8</v>
      </c>
      <c r="S20" s="52">
        <v>9</v>
      </c>
      <c r="T20" s="53">
        <f t="shared" si="17"/>
        <v>0</v>
      </c>
      <c r="U20" s="54">
        <f t="shared" si="18"/>
        <v>0.6</v>
      </c>
      <c r="V20" s="52">
        <v>0</v>
      </c>
      <c r="W20" s="52">
        <v>3</v>
      </c>
      <c r="X20" s="52">
        <v>0</v>
      </c>
      <c r="Y20" s="52"/>
      <c r="Z20" s="53">
        <f t="shared" si="19"/>
        <v>0</v>
      </c>
      <c r="AA20" s="54">
        <f t="shared" si="20"/>
        <v>5.166666666666667</v>
      </c>
      <c r="AB20" s="72">
        <v>0</v>
      </c>
      <c r="AC20" s="52">
        <v>11</v>
      </c>
      <c r="AD20" s="52">
        <v>10</v>
      </c>
      <c r="AE20" s="52"/>
      <c r="AF20" s="52"/>
      <c r="AG20" s="52">
        <v>10</v>
      </c>
      <c r="AH20" s="53">
        <f t="shared" si="21"/>
        <v>3</v>
      </c>
      <c r="AI20" s="54">
        <f t="shared" si="22"/>
        <v>15</v>
      </c>
      <c r="AJ20" s="52">
        <v>15</v>
      </c>
      <c r="AK20" s="53">
        <f t="shared" si="23"/>
        <v>8</v>
      </c>
      <c r="AL20" s="54">
        <f t="shared" si="24"/>
        <v>8.1666666666666661</v>
      </c>
      <c r="AM20" s="57">
        <f t="shared" si="25"/>
        <v>14</v>
      </c>
      <c r="AN20" s="56"/>
      <c r="AO20" s="54">
        <f t="shared" si="26"/>
        <v>0</v>
      </c>
      <c r="AP20" s="52"/>
      <c r="AQ20" s="53">
        <f t="shared" si="27"/>
        <v>0</v>
      </c>
      <c r="AR20" s="54">
        <f t="shared" si="28"/>
        <v>0</v>
      </c>
      <c r="AS20" s="53">
        <f t="shared" si="29"/>
        <v>0</v>
      </c>
      <c r="AT20" s="54">
        <f t="shared" si="12"/>
        <v>4.083333333333333</v>
      </c>
      <c r="AU20" s="54">
        <f t="shared" si="31"/>
        <v>20.416666666666664</v>
      </c>
      <c r="AV20" s="55" t="str">
        <f t="shared" si="30"/>
        <v>Non Validée</v>
      </c>
      <c r="AW20" s="54">
        <f t="shared" si="13"/>
        <v>14</v>
      </c>
      <c r="AX20" s="55" t="str">
        <f t="shared" si="32"/>
        <v>Insatisfaisant</v>
      </c>
      <c r="AY20" s="50" t="str">
        <f>IF(AV20="Validée","Admis en L3 LMD",IF(OR(AX20="Insuffisant",AX20="Insatisfaisant"),"Ajourné",CONCATENATE("Admis en L3 LMD avec crédits à valider des UE :",IF(#REF!&lt;#REF!,#REF!,"")," ",IF(#REF!&lt;#REF!,#REF!,"")," ",IF(#REF!&lt;#REF!,#REF!,"")," ",IF(#REF!&lt;#REF!,#REF!,"")," ",IF(#REF!&lt;#REF!,#REF!,"")," ",IF(O20&lt;$I$7,$O$5,"")," ",IF(Z20&lt;$U$7,$Z$5,"")," ",IF(AH20&lt;$AA$7,$AH$5,"")," ",IF(AK20&lt;$AI$7,$AK$5,""))))</f>
        <v>Ajourné</v>
      </c>
    </row>
    <row r="21" spans="1:51" s="58" customFormat="1" ht="14.4" customHeight="1" x14ac:dyDescent="0.35">
      <c r="A21" s="51" t="s">
        <v>46</v>
      </c>
      <c r="B21" s="52" t="s">
        <v>96</v>
      </c>
      <c r="C21" s="70"/>
      <c r="D21" s="70" t="s">
        <v>183</v>
      </c>
      <c r="E21" s="70" t="s">
        <v>184</v>
      </c>
      <c r="F21" s="70"/>
      <c r="G21" s="52"/>
      <c r="H21" s="52"/>
      <c r="I21" s="54">
        <f t="shared" si="14"/>
        <v>10.4</v>
      </c>
      <c r="J21" s="52">
        <v>10</v>
      </c>
      <c r="K21" s="52">
        <v>15</v>
      </c>
      <c r="L21" s="52">
        <v>12</v>
      </c>
      <c r="M21" s="52">
        <v>4</v>
      </c>
      <c r="N21" s="52">
        <v>11</v>
      </c>
      <c r="O21" s="53">
        <f t="shared" si="15"/>
        <v>5</v>
      </c>
      <c r="P21" s="54">
        <f t="shared" si="16"/>
        <v>8</v>
      </c>
      <c r="Q21" s="52">
        <v>6</v>
      </c>
      <c r="R21" s="52">
        <v>8</v>
      </c>
      <c r="S21" s="52">
        <v>10</v>
      </c>
      <c r="T21" s="53">
        <f t="shared" si="17"/>
        <v>2</v>
      </c>
      <c r="U21" s="54">
        <f t="shared" si="18"/>
        <v>1</v>
      </c>
      <c r="V21" s="52">
        <v>0</v>
      </c>
      <c r="W21" s="52">
        <v>5</v>
      </c>
      <c r="X21" s="52">
        <v>0</v>
      </c>
      <c r="Y21" s="52"/>
      <c r="Z21" s="53">
        <f t="shared" si="19"/>
        <v>0</v>
      </c>
      <c r="AA21" s="54">
        <f t="shared" si="20"/>
        <v>7.333333333333333</v>
      </c>
      <c r="AB21" s="72">
        <v>0</v>
      </c>
      <c r="AC21" s="52">
        <v>13</v>
      </c>
      <c r="AD21" s="52">
        <v>12</v>
      </c>
      <c r="AE21" s="52">
        <v>12</v>
      </c>
      <c r="AF21" s="52"/>
      <c r="AG21" s="52">
        <v>7</v>
      </c>
      <c r="AH21" s="53">
        <f t="shared" si="21"/>
        <v>3</v>
      </c>
      <c r="AI21" s="54">
        <f t="shared" si="22"/>
        <v>15</v>
      </c>
      <c r="AJ21" s="52">
        <v>15</v>
      </c>
      <c r="AK21" s="53">
        <f t="shared" si="23"/>
        <v>8</v>
      </c>
      <c r="AL21" s="54">
        <f t="shared" si="24"/>
        <v>8.9666666666666668</v>
      </c>
      <c r="AM21" s="57">
        <f t="shared" si="25"/>
        <v>18</v>
      </c>
      <c r="AN21" s="56"/>
      <c r="AO21" s="54">
        <f t="shared" si="26"/>
        <v>0</v>
      </c>
      <c r="AP21" s="52"/>
      <c r="AQ21" s="53">
        <f t="shared" si="27"/>
        <v>0</v>
      </c>
      <c r="AR21" s="54">
        <f t="shared" si="28"/>
        <v>0</v>
      </c>
      <c r="AS21" s="53">
        <f t="shared" si="29"/>
        <v>0</v>
      </c>
      <c r="AT21" s="54">
        <f t="shared" si="12"/>
        <v>4.4833333333333334</v>
      </c>
      <c r="AU21" s="54">
        <f t="shared" si="31"/>
        <v>22.416666666666664</v>
      </c>
      <c r="AV21" s="55" t="str">
        <f t="shared" si="30"/>
        <v>Non Validée</v>
      </c>
      <c r="AW21" s="54">
        <f t="shared" si="13"/>
        <v>18</v>
      </c>
      <c r="AX21" s="55" t="str">
        <f t="shared" si="32"/>
        <v>Insatisfaisant</v>
      </c>
      <c r="AY21" s="50" t="str">
        <f>IF(AV21="Validée","Admis en L3 LMD",IF(OR(AX21="Insuffisant",AX21="Insatisfaisant"),"Ajourné",CONCATENATE("Admis en L3 LMD avec crédits à valider des UE :",IF(#REF!&lt;#REF!,#REF!,"")," ",IF(#REF!&lt;#REF!,#REF!,"")," ",IF(#REF!&lt;#REF!,#REF!,"")," ",IF(#REF!&lt;#REF!,#REF!,"")," ",IF(#REF!&lt;#REF!,#REF!,"")," ",IF(O21&lt;$I$7,$O$5,"")," ",IF(Z21&lt;$U$7,$Z$5,"")," ",IF(AH21&lt;$AA$7,$AH$5,"")," ",IF(AK21&lt;$AI$7,$AK$5,""))))</f>
        <v>Ajourné</v>
      </c>
    </row>
    <row r="22" spans="1:51" s="58" customFormat="1" ht="15.5" x14ac:dyDescent="0.35">
      <c r="A22" s="51" t="s">
        <v>47</v>
      </c>
      <c r="B22" s="52" t="s">
        <v>97</v>
      </c>
      <c r="C22" s="70"/>
      <c r="D22" s="70" t="s">
        <v>185</v>
      </c>
      <c r="E22" s="70" t="s">
        <v>186</v>
      </c>
      <c r="F22" s="70"/>
      <c r="G22" s="52"/>
      <c r="H22" s="52"/>
      <c r="I22" s="54">
        <f t="shared" si="14"/>
        <v>8.6</v>
      </c>
      <c r="J22" s="52">
        <v>5</v>
      </c>
      <c r="K22" s="52">
        <v>12</v>
      </c>
      <c r="L22" s="52">
        <v>10</v>
      </c>
      <c r="M22" s="52">
        <v>3</v>
      </c>
      <c r="N22" s="52">
        <v>13</v>
      </c>
      <c r="O22" s="53">
        <f t="shared" si="15"/>
        <v>3</v>
      </c>
      <c r="P22" s="54">
        <f t="shared" si="16"/>
        <v>7.666666666666667</v>
      </c>
      <c r="Q22" s="52">
        <v>7</v>
      </c>
      <c r="R22" s="52">
        <v>10</v>
      </c>
      <c r="S22" s="52">
        <v>6</v>
      </c>
      <c r="T22" s="53">
        <f t="shared" si="17"/>
        <v>2</v>
      </c>
      <c r="U22" s="54">
        <f t="shared" si="18"/>
        <v>9.1999999999999993</v>
      </c>
      <c r="V22" s="52">
        <v>8</v>
      </c>
      <c r="W22" s="52">
        <v>10</v>
      </c>
      <c r="X22" s="52">
        <v>7</v>
      </c>
      <c r="Y22" s="52">
        <v>13</v>
      </c>
      <c r="Z22" s="53">
        <f t="shared" si="19"/>
        <v>2</v>
      </c>
      <c r="AA22" s="54">
        <f t="shared" si="20"/>
        <v>7</v>
      </c>
      <c r="AB22" s="72">
        <v>15</v>
      </c>
      <c r="AC22" s="52"/>
      <c r="AD22" s="52">
        <v>8</v>
      </c>
      <c r="AE22" s="52">
        <v>10</v>
      </c>
      <c r="AF22" s="52"/>
      <c r="AG22" s="52">
        <v>9</v>
      </c>
      <c r="AH22" s="53">
        <f t="shared" si="21"/>
        <v>2</v>
      </c>
      <c r="AI22" s="54">
        <f t="shared" si="22"/>
        <v>0</v>
      </c>
      <c r="AJ22" s="52"/>
      <c r="AK22" s="53">
        <f t="shared" si="23"/>
        <v>0</v>
      </c>
      <c r="AL22" s="54">
        <f t="shared" si="24"/>
        <v>5.9</v>
      </c>
      <c r="AM22" s="57">
        <f t="shared" si="25"/>
        <v>9</v>
      </c>
      <c r="AN22" s="56"/>
      <c r="AO22" s="54">
        <f t="shared" si="26"/>
        <v>0</v>
      </c>
      <c r="AP22" s="52"/>
      <c r="AQ22" s="53">
        <f t="shared" si="27"/>
        <v>0</v>
      </c>
      <c r="AR22" s="54">
        <f t="shared" si="28"/>
        <v>0</v>
      </c>
      <c r="AS22" s="53">
        <f t="shared" si="29"/>
        <v>0</v>
      </c>
      <c r="AT22" s="54">
        <f t="shared" si="12"/>
        <v>2.95</v>
      </c>
      <c r="AU22" s="54">
        <f t="shared" si="31"/>
        <v>14.75</v>
      </c>
      <c r="AV22" s="55" t="str">
        <f t="shared" si="30"/>
        <v>Non Validée</v>
      </c>
      <c r="AW22" s="54">
        <f t="shared" si="13"/>
        <v>9</v>
      </c>
      <c r="AX22" s="55" t="str">
        <f t="shared" si="32"/>
        <v>Insatisfaisant</v>
      </c>
      <c r="AY22" s="50" t="str">
        <f>IF(AV22="Validée","Admis en L3 LMD",IF(OR(AX22="Insuffisant",AX22="Insatisfaisant"),"Ajourné",CONCATENATE("Admis en L3 LMD avec crédits à valider des UE :",IF(#REF!&lt;#REF!,#REF!,"")," ",IF(#REF!&lt;#REF!,#REF!,"")," ",IF(#REF!&lt;#REF!,#REF!,"")," ",IF(#REF!&lt;#REF!,#REF!,"")," ",IF(#REF!&lt;#REF!,#REF!,"")," ",IF(O22&lt;$I$7,$O$5,"")," ",IF(Z22&lt;$U$7,$Z$5,"")," ",IF(AH22&lt;$AA$7,$AH$5,"")," ",IF(AK22&lt;$AI$7,$AK$5,""))))</f>
        <v>Ajourné</v>
      </c>
    </row>
    <row r="23" spans="1:51" s="58" customFormat="1" ht="18.649999999999999" customHeight="1" x14ac:dyDescent="0.35">
      <c r="A23" s="51" t="s">
        <v>48</v>
      </c>
      <c r="B23" s="52" t="s">
        <v>98</v>
      </c>
      <c r="C23" s="70"/>
      <c r="D23" s="70" t="s">
        <v>187</v>
      </c>
      <c r="E23" s="70" t="s">
        <v>188</v>
      </c>
      <c r="F23" s="70"/>
      <c r="G23" s="52"/>
      <c r="H23" s="52"/>
      <c r="I23" s="54">
        <f t="shared" si="14"/>
        <v>4.8</v>
      </c>
      <c r="J23" s="52">
        <v>8</v>
      </c>
      <c r="K23" s="52">
        <v>0</v>
      </c>
      <c r="L23" s="52">
        <v>10</v>
      </c>
      <c r="M23" s="52">
        <v>6</v>
      </c>
      <c r="N23" s="52">
        <v>0</v>
      </c>
      <c r="O23" s="53">
        <f t="shared" si="15"/>
        <v>1</v>
      </c>
      <c r="P23" s="54">
        <f t="shared" si="16"/>
        <v>8.3333333333333339</v>
      </c>
      <c r="Q23" s="52">
        <v>9</v>
      </c>
      <c r="R23" s="52">
        <v>8</v>
      </c>
      <c r="S23" s="52">
        <v>8</v>
      </c>
      <c r="T23" s="53">
        <f t="shared" si="17"/>
        <v>0</v>
      </c>
      <c r="U23" s="54">
        <f t="shared" si="18"/>
        <v>6.6</v>
      </c>
      <c r="V23" s="52">
        <v>8</v>
      </c>
      <c r="W23" s="52">
        <v>4</v>
      </c>
      <c r="X23" s="52">
        <v>0</v>
      </c>
      <c r="Y23" s="52">
        <v>13</v>
      </c>
      <c r="Z23" s="53">
        <f t="shared" si="19"/>
        <v>1</v>
      </c>
      <c r="AA23" s="54">
        <f t="shared" si="20"/>
        <v>7.5</v>
      </c>
      <c r="AB23" s="72">
        <v>6</v>
      </c>
      <c r="AC23" s="52">
        <v>8</v>
      </c>
      <c r="AD23" s="52">
        <v>10</v>
      </c>
      <c r="AE23" s="52">
        <v>11</v>
      </c>
      <c r="AF23" s="52"/>
      <c r="AG23" s="52">
        <v>10</v>
      </c>
      <c r="AH23" s="53">
        <f t="shared" si="21"/>
        <v>3</v>
      </c>
      <c r="AI23" s="54">
        <f t="shared" si="22"/>
        <v>0</v>
      </c>
      <c r="AJ23" s="52"/>
      <c r="AK23" s="53">
        <f t="shared" si="23"/>
        <v>0</v>
      </c>
      <c r="AL23" s="54">
        <f t="shared" si="24"/>
        <v>5.0666666666666664</v>
      </c>
      <c r="AM23" s="57">
        <f t="shared" si="25"/>
        <v>5</v>
      </c>
      <c r="AN23" s="56"/>
      <c r="AO23" s="54">
        <f t="shared" si="26"/>
        <v>0</v>
      </c>
      <c r="AP23" s="52"/>
      <c r="AQ23" s="53">
        <f t="shared" si="27"/>
        <v>0</v>
      </c>
      <c r="AR23" s="54">
        <f t="shared" si="28"/>
        <v>0</v>
      </c>
      <c r="AS23" s="53">
        <f t="shared" si="29"/>
        <v>0</v>
      </c>
      <c r="AT23" s="54">
        <f t="shared" si="12"/>
        <v>2.5333333333333332</v>
      </c>
      <c r="AU23" s="54">
        <f t="shared" si="31"/>
        <v>12.666666666666668</v>
      </c>
      <c r="AV23" s="55" t="str">
        <f t="shared" si="30"/>
        <v>Non Validée</v>
      </c>
      <c r="AW23" s="54">
        <f t="shared" si="13"/>
        <v>5</v>
      </c>
      <c r="AX23" s="55" t="str">
        <f t="shared" si="32"/>
        <v>Insatisfaisant</v>
      </c>
      <c r="AY23" s="50" t="str">
        <f>IF(AV23="Validée","Admis en L3 LMD",IF(OR(AX23="Insuffisant",AX23="Insatisfaisant"),"Ajourné",CONCATENATE("Admis en L3 LMD avec crédits à valider des UE :",IF(#REF!&lt;#REF!,#REF!,"")," ",IF(#REF!&lt;#REF!,#REF!,"")," ",IF(#REF!&lt;#REF!,#REF!,"")," ",IF(#REF!&lt;#REF!,#REF!,"")," ",IF(#REF!&lt;#REF!,#REF!,"")," ",IF(O23&lt;$I$7,$O$5,"")," ",IF(Z23&lt;$U$7,$Z$5,"")," ",IF(AH23&lt;$AA$7,$AH$5,"")," ",IF(AK23&lt;$AI$7,$AK$5,""))))</f>
        <v>Ajourné</v>
      </c>
    </row>
    <row r="24" spans="1:51" s="58" customFormat="1" ht="14.4" customHeight="1" x14ac:dyDescent="0.35">
      <c r="A24" s="51" t="s">
        <v>49</v>
      </c>
      <c r="B24" s="52" t="s">
        <v>99</v>
      </c>
      <c r="C24" s="70"/>
      <c r="D24" s="70" t="s">
        <v>190</v>
      </c>
      <c r="E24" s="70" t="s">
        <v>191</v>
      </c>
      <c r="F24" s="70"/>
      <c r="G24" s="52"/>
      <c r="H24" s="52"/>
      <c r="I24" s="54">
        <f t="shared" si="14"/>
        <v>3</v>
      </c>
      <c r="J24" s="52"/>
      <c r="K24" s="52"/>
      <c r="L24" s="52">
        <v>11</v>
      </c>
      <c r="M24" s="52">
        <v>4</v>
      </c>
      <c r="N24" s="52"/>
      <c r="O24" s="53">
        <f t="shared" si="15"/>
        <v>1</v>
      </c>
      <c r="P24" s="54">
        <f t="shared" si="16"/>
        <v>7.666666666666667</v>
      </c>
      <c r="Q24" s="52">
        <v>7</v>
      </c>
      <c r="R24" s="52">
        <v>0</v>
      </c>
      <c r="S24" s="52">
        <v>16</v>
      </c>
      <c r="T24" s="53">
        <f t="shared" si="17"/>
        <v>2</v>
      </c>
      <c r="U24" s="54">
        <f t="shared" si="18"/>
        <v>12</v>
      </c>
      <c r="V24" s="52">
        <v>12</v>
      </c>
      <c r="W24" s="52">
        <v>10</v>
      </c>
      <c r="X24" s="52">
        <v>12</v>
      </c>
      <c r="Y24" s="52">
        <v>14</v>
      </c>
      <c r="Z24" s="53">
        <f t="shared" si="19"/>
        <v>5</v>
      </c>
      <c r="AA24" s="54">
        <f t="shared" si="20"/>
        <v>6</v>
      </c>
      <c r="AB24" s="72">
        <v>0</v>
      </c>
      <c r="AC24" s="52">
        <v>13</v>
      </c>
      <c r="AD24" s="52">
        <v>12</v>
      </c>
      <c r="AE24" s="52"/>
      <c r="AF24" s="52">
        <v>11</v>
      </c>
      <c r="AG24" s="52"/>
      <c r="AH24" s="53">
        <f t="shared" si="21"/>
        <v>3</v>
      </c>
      <c r="AI24" s="54">
        <f t="shared" si="22"/>
        <v>0</v>
      </c>
      <c r="AJ24" s="52"/>
      <c r="AK24" s="53">
        <f t="shared" si="23"/>
        <v>0</v>
      </c>
      <c r="AL24" s="54">
        <f t="shared" si="24"/>
        <v>5.2333333333333334</v>
      </c>
      <c r="AM24" s="57">
        <f t="shared" si="25"/>
        <v>11</v>
      </c>
      <c r="AN24" s="56"/>
      <c r="AO24" s="54">
        <f t="shared" si="26"/>
        <v>0</v>
      </c>
      <c r="AP24" s="52"/>
      <c r="AQ24" s="53">
        <f t="shared" si="27"/>
        <v>0</v>
      </c>
      <c r="AR24" s="54">
        <f t="shared" si="28"/>
        <v>0</v>
      </c>
      <c r="AS24" s="53">
        <f t="shared" si="29"/>
        <v>0</v>
      </c>
      <c r="AT24" s="54">
        <f t="shared" si="12"/>
        <v>2.6166666666666667</v>
      </c>
      <c r="AU24" s="54">
        <f t="shared" si="31"/>
        <v>13.083333333333332</v>
      </c>
      <c r="AV24" s="55" t="str">
        <f t="shared" si="30"/>
        <v>Non Validée</v>
      </c>
      <c r="AW24" s="54">
        <f t="shared" si="13"/>
        <v>11</v>
      </c>
      <c r="AX24" s="55" t="str">
        <f t="shared" si="32"/>
        <v>Insatisfaisant</v>
      </c>
      <c r="AY24" s="50" t="str">
        <f>IF(AV24="Validée","Admis en L3 LMD",IF(OR(AX24="Insuffisant",AX24="Insatisfaisant"),"Ajourné",CONCATENATE("Admis en L3 LMD avec crédits à valider des UE :",IF(#REF!&lt;#REF!,#REF!,"")," ",IF(#REF!&lt;#REF!,#REF!,"")," ",IF(#REF!&lt;#REF!,#REF!,"")," ",IF(#REF!&lt;#REF!,#REF!,"")," ",IF(#REF!&lt;#REF!,#REF!,"")," ",IF(O24&lt;$I$7,$O$5,"")," ",IF(Z24&lt;$U$7,$Z$5,"")," ",IF(AH24&lt;$AA$7,$AH$5,"")," ",IF(AK24&lt;$AI$7,$AK$5,""))))</f>
        <v>Ajourné</v>
      </c>
    </row>
    <row r="25" spans="1:51" s="58" customFormat="1" ht="14.4" customHeight="1" x14ac:dyDescent="0.35">
      <c r="A25" s="51" t="s">
        <v>50</v>
      </c>
      <c r="B25" s="52" t="s">
        <v>100</v>
      </c>
      <c r="C25" s="70"/>
      <c r="D25" s="70" t="s">
        <v>192</v>
      </c>
      <c r="E25" s="70" t="s">
        <v>193</v>
      </c>
      <c r="F25" s="70"/>
      <c r="G25" s="52"/>
      <c r="H25" s="52"/>
      <c r="I25" s="54">
        <f t="shared" si="14"/>
        <v>1</v>
      </c>
      <c r="J25" s="52"/>
      <c r="K25" s="52"/>
      <c r="L25" s="52">
        <v>0</v>
      </c>
      <c r="M25" s="52">
        <v>5</v>
      </c>
      <c r="N25" s="52"/>
      <c r="O25" s="53">
        <f t="shared" si="15"/>
        <v>0</v>
      </c>
      <c r="P25" s="54">
        <f t="shared" si="16"/>
        <v>6.333333333333333</v>
      </c>
      <c r="Q25" s="52">
        <v>6</v>
      </c>
      <c r="R25" s="52">
        <v>6</v>
      </c>
      <c r="S25" s="52">
        <v>7</v>
      </c>
      <c r="T25" s="53">
        <f t="shared" si="17"/>
        <v>0</v>
      </c>
      <c r="U25" s="54">
        <f t="shared" si="18"/>
        <v>5.4</v>
      </c>
      <c r="V25" s="52">
        <v>7</v>
      </c>
      <c r="W25" s="52">
        <v>2</v>
      </c>
      <c r="X25" s="52">
        <v>0</v>
      </c>
      <c r="Y25" s="52">
        <v>11</v>
      </c>
      <c r="Z25" s="53">
        <f t="shared" si="19"/>
        <v>1</v>
      </c>
      <c r="AA25" s="54">
        <f t="shared" si="20"/>
        <v>2.3333333333333335</v>
      </c>
      <c r="AB25" s="72">
        <v>6</v>
      </c>
      <c r="AC25" s="52"/>
      <c r="AD25" s="52">
        <v>8</v>
      </c>
      <c r="AE25" s="52"/>
      <c r="AF25" s="52"/>
      <c r="AG25" s="52"/>
      <c r="AH25" s="53">
        <f t="shared" si="21"/>
        <v>0</v>
      </c>
      <c r="AI25" s="54">
        <f t="shared" si="22"/>
        <v>0</v>
      </c>
      <c r="AJ25" s="52"/>
      <c r="AK25" s="53">
        <f t="shared" si="23"/>
        <v>0</v>
      </c>
      <c r="AL25" s="54">
        <f t="shared" si="24"/>
        <v>2.8</v>
      </c>
      <c r="AM25" s="57">
        <f t="shared" si="25"/>
        <v>1</v>
      </c>
      <c r="AN25" s="56"/>
      <c r="AO25" s="54">
        <f t="shared" si="26"/>
        <v>0</v>
      </c>
      <c r="AP25" s="52"/>
      <c r="AQ25" s="53">
        <f t="shared" si="27"/>
        <v>0</v>
      </c>
      <c r="AR25" s="54">
        <f t="shared" si="28"/>
        <v>0</v>
      </c>
      <c r="AS25" s="53">
        <f t="shared" si="29"/>
        <v>0</v>
      </c>
      <c r="AT25" s="54">
        <f t="shared" si="12"/>
        <v>1.4</v>
      </c>
      <c r="AU25" s="54">
        <f t="shared" si="31"/>
        <v>7.0000000000000009</v>
      </c>
      <c r="AV25" s="55" t="str">
        <f t="shared" si="30"/>
        <v>Non Validée</v>
      </c>
      <c r="AW25" s="54">
        <f t="shared" si="13"/>
        <v>1</v>
      </c>
      <c r="AX25" s="55" t="str">
        <f t="shared" si="32"/>
        <v>Insatisfaisant</v>
      </c>
      <c r="AY25" s="50" t="str">
        <f>IF(AV25="Validée","Admis en L3 LMD",IF(OR(AX25="Insuffisant",AX25="Insatisfaisant"),"Ajourné",CONCATENATE("Admis en L3 LMD avec crédits à valider des UE :",IF(#REF!&lt;#REF!,#REF!,"")," ",IF(#REF!&lt;#REF!,#REF!,"")," ",IF(#REF!&lt;#REF!,#REF!,"")," ",IF(#REF!&lt;#REF!,#REF!,"")," ",IF(#REF!&lt;#REF!,#REF!,"")," ",IF(O25&lt;$I$7,$O$5,"")," ",IF(Z25&lt;$U$7,$Z$5,"")," ",IF(AH25&lt;$AA$7,$AH$5,"")," ",IF(AK25&lt;$AI$7,$AK$5,""))))</f>
        <v>Ajourné</v>
      </c>
    </row>
    <row r="26" spans="1:51" s="58" customFormat="1" ht="15.5" x14ac:dyDescent="0.35">
      <c r="A26" s="51" t="s">
        <v>51</v>
      </c>
      <c r="B26" s="52" t="s">
        <v>101</v>
      </c>
      <c r="C26" s="70"/>
      <c r="D26" s="70" t="s">
        <v>194</v>
      </c>
      <c r="E26" s="70" t="s">
        <v>195</v>
      </c>
      <c r="F26" s="70"/>
      <c r="G26" s="52"/>
      <c r="H26" s="52"/>
      <c r="I26" s="54">
        <f t="shared" si="14"/>
        <v>5</v>
      </c>
      <c r="J26" s="52"/>
      <c r="K26" s="52"/>
      <c r="L26" s="52">
        <v>12</v>
      </c>
      <c r="M26" s="52">
        <v>13</v>
      </c>
      <c r="N26" s="52"/>
      <c r="O26" s="53">
        <f t="shared" si="15"/>
        <v>2</v>
      </c>
      <c r="P26" s="54">
        <f t="shared" si="16"/>
        <v>13.666666666666666</v>
      </c>
      <c r="Q26" s="52">
        <v>12</v>
      </c>
      <c r="R26" s="52">
        <v>13</v>
      </c>
      <c r="S26" s="52">
        <v>16</v>
      </c>
      <c r="T26" s="53">
        <f t="shared" si="17"/>
        <v>6</v>
      </c>
      <c r="U26" s="54">
        <f t="shared" si="18"/>
        <v>7.4</v>
      </c>
      <c r="V26" s="52">
        <v>0</v>
      </c>
      <c r="W26" s="52">
        <v>10</v>
      </c>
      <c r="X26" s="52">
        <v>15</v>
      </c>
      <c r="Y26" s="52">
        <v>12</v>
      </c>
      <c r="Z26" s="53">
        <f t="shared" si="19"/>
        <v>3</v>
      </c>
      <c r="AA26" s="54">
        <f t="shared" si="20"/>
        <v>6.666666666666667</v>
      </c>
      <c r="AB26" s="72">
        <v>12</v>
      </c>
      <c r="AC26" s="52"/>
      <c r="AD26" s="52">
        <v>15</v>
      </c>
      <c r="AE26" s="52"/>
      <c r="AF26" s="52">
        <v>13</v>
      </c>
      <c r="AG26" s="52"/>
      <c r="AH26" s="53">
        <f t="shared" si="21"/>
        <v>3</v>
      </c>
      <c r="AI26" s="54">
        <f t="shared" si="22"/>
        <v>15</v>
      </c>
      <c r="AJ26" s="52">
        <v>15</v>
      </c>
      <c r="AK26" s="53">
        <f t="shared" si="23"/>
        <v>8</v>
      </c>
      <c r="AL26" s="54">
        <f t="shared" si="24"/>
        <v>10.133333333333333</v>
      </c>
      <c r="AM26" s="57">
        <f t="shared" si="25"/>
        <v>22</v>
      </c>
      <c r="AN26" s="56"/>
      <c r="AO26" s="54">
        <f t="shared" si="26"/>
        <v>0</v>
      </c>
      <c r="AP26" s="52"/>
      <c r="AQ26" s="53">
        <f t="shared" si="27"/>
        <v>0</v>
      </c>
      <c r="AR26" s="54">
        <f t="shared" si="28"/>
        <v>0</v>
      </c>
      <c r="AS26" s="53">
        <f t="shared" si="29"/>
        <v>0</v>
      </c>
      <c r="AT26" s="54">
        <f t="shared" si="12"/>
        <v>5.0666666666666664</v>
      </c>
      <c r="AU26" s="54">
        <f t="shared" si="31"/>
        <v>25.333333333333336</v>
      </c>
      <c r="AV26" s="55" t="str">
        <f t="shared" si="30"/>
        <v>Non Validée</v>
      </c>
      <c r="AW26" s="54">
        <f t="shared" si="13"/>
        <v>22</v>
      </c>
      <c r="AX26" s="55" t="str">
        <f t="shared" si="32"/>
        <v>Insatisfaisant</v>
      </c>
      <c r="AY26" s="50" t="str">
        <f>IF(AV26="Validée","Admis en L3 LMD",IF(OR(AX26="Insuffisant",AX26="Insatisfaisant"),"Ajourné",CONCATENATE("Admis en L3 LMD avec crédits à valider des UE :",IF(#REF!&lt;#REF!,#REF!,"")," ",IF(#REF!&lt;#REF!,#REF!,"")," ",IF(#REF!&lt;#REF!,#REF!,"")," ",IF(#REF!&lt;#REF!,#REF!,"")," ",IF(#REF!&lt;#REF!,#REF!,"")," ",IF(O26&lt;$I$7,$O$5,"")," ",IF(Z26&lt;$U$7,$Z$5,"")," ",IF(AH26&lt;$AA$7,$AH$5,"")," ",IF(AK26&lt;$AI$7,$AK$5,""))))</f>
        <v>Ajourné</v>
      </c>
    </row>
    <row r="27" spans="1:51" s="58" customFormat="1" ht="15.5" x14ac:dyDescent="0.35">
      <c r="A27" s="51" t="s">
        <v>52</v>
      </c>
      <c r="B27" s="52" t="s">
        <v>102</v>
      </c>
      <c r="C27" s="70"/>
      <c r="D27" s="70" t="s">
        <v>196</v>
      </c>
      <c r="E27" s="70" t="s">
        <v>197</v>
      </c>
      <c r="F27" s="70"/>
      <c r="G27" s="52"/>
      <c r="H27" s="52"/>
      <c r="I27" s="54">
        <f t="shared" si="14"/>
        <v>5</v>
      </c>
      <c r="J27" s="52"/>
      <c r="K27" s="52"/>
      <c r="L27" s="52">
        <v>13</v>
      </c>
      <c r="M27" s="52">
        <v>12</v>
      </c>
      <c r="N27" s="52"/>
      <c r="O27" s="53">
        <f t="shared" si="15"/>
        <v>2</v>
      </c>
      <c r="P27" s="54">
        <f t="shared" si="16"/>
        <v>14</v>
      </c>
      <c r="Q27" s="52">
        <v>13</v>
      </c>
      <c r="R27" s="52">
        <v>14</v>
      </c>
      <c r="S27" s="52">
        <v>15</v>
      </c>
      <c r="T27" s="53">
        <f t="shared" si="17"/>
        <v>6</v>
      </c>
      <c r="U27" s="54">
        <f t="shared" si="18"/>
        <v>12.4</v>
      </c>
      <c r="V27" s="52">
        <v>13</v>
      </c>
      <c r="W27" s="52">
        <v>11</v>
      </c>
      <c r="X27" s="52">
        <v>14</v>
      </c>
      <c r="Y27" s="52">
        <v>11</v>
      </c>
      <c r="Z27" s="53">
        <f t="shared" si="19"/>
        <v>5</v>
      </c>
      <c r="AA27" s="54">
        <f t="shared" si="20"/>
        <v>7.333333333333333</v>
      </c>
      <c r="AB27" s="72">
        <v>15</v>
      </c>
      <c r="AC27" s="52"/>
      <c r="AD27" s="52">
        <v>15</v>
      </c>
      <c r="AE27" s="52"/>
      <c r="AF27" s="52">
        <v>14</v>
      </c>
      <c r="AG27" s="52"/>
      <c r="AH27" s="53">
        <f t="shared" si="21"/>
        <v>3</v>
      </c>
      <c r="AI27" s="54">
        <f t="shared" si="22"/>
        <v>0</v>
      </c>
      <c r="AJ27" s="52"/>
      <c r="AK27" s="53">
        <f t="shared" si="23"/>
        <v>0</v>
      </c>
      <c r="AL27" s="54">
        <f t="shared" si="24"/>
        <v>7.166666666666667</v>
      </c>
      <c r="AM27" s="57">
        <f t="shared" si="25"/>
        <v>16</v>
      </c>
      <c r="AN27" s="56"/>
      <c r="AO27" s="54">
        <f t="shared" si="26"/>
        <v>0</v>
      </c>
      <c r="AP27" s="52"/>
      <c r="AQ27" s="53">
        <f t="shared" si="27"/>
        <v>0</v>
      </c>
      <c r="AR27" s="54">
        <f t="shared" si="28"/>
        <v>0</v>
      </c>
      <c r="AS27" s="53">
        <f t="shared" si="29"/>
        <v>0</v>
      </c>
      <c r="AT27" s="54">
        <f t="shared" si="12"/>
        <v>3.5833333333333335</v>
      </c>
      <c r="AU27" s="54">
        <f t="shared" si="31"/>
        <v>17.916666666666668</v>
      </c>
      <c r="AV27" s="55" t="str">
        <f t="shared" si="30"/>
        <v>Non Validée</v>
      </c>
      <c r="AW27" s="54">
        <f t="shared" si="13"/>
        <v>16</v>
      </c>
      <c r="AX27" s="55" t="str">
        <f t="shared" si="32"/>
        <v>Insatisfaisant</v>
      </c>
      <c r="AY27" s="50" t="str">
        <f>IF(AV27="Validée","Admis en L3 LMD",IF(OR(AX27="Insuffisant",AX27="Insatisfaisant"),"Ajourné",CONCATENATE("Admis en L3 LMD avec crédits à valider des UE :",IF(#REF!&lt;#REF!,#REF!,"")," ",IF(#REF!&lt;#REF!,#REF!,"")," ",IF(#REF!&lt;#REF!,#REF!,"")," ",IF(#REF!&lt;#REF!,#REF!,"")," ",IF(#REF!&lt;#REF!,#REF!,"")," ",IF(O27&lt;$I$7,$O$5,"")," ",IF(Z27&lt;$U$7,$Z$5,"")," ",IF(AH27&lt;$AA$7,$AH$5,"")," ",IF(AK27&lt;$AI$7,$AK$5,""))))</f>
        <v>Ajourné</v>
      </c>
    </row>
    <row r="28" spans="1:51" s="58" customFormat="1" ht="15.5" x14ac:dyDescent="0.35">
      <c r="A28" s="51" t="s">
        <v>53</v>
      </c>
      <c r="B28" s="52" t="s">
        <v>103</v>
      </c>
      <c r="C28" s="70"/>
      <c r="D28" s="70" t="s">
        <v>198</v>
      </c>
      <c r="E28" s="70" t="s">
        <v>199</v>
      </c>
      <c r="F28" s="70"/>
      <c r="G28" s="52"/>
      <c r="H28" s="52"/>
      <c r="I28" s="54">
        <f t="shared" si="14"/>
        <v>5.2</v>
      </c>
      <c r="J28" s="52"/>
      <c r="K28" s="52"/>
      <c r="L28" s="52">
        <v>14</v>
      </c>
      <c r="M28" s="52">
        <v>12</v>
      </c>
      <c r="N28" s="52"/>
      <c r="O28" s="53">
        <f t="shared" si="15"/>
        <v>2</v>
      </c>
      <c r="P28" s="54">
        <f t="shared" si="16"/>
        <v>12</v>
      </c>
      <c r="Q28" s="52">
        <v>10</v>
      </c>
      <c r="R28" s="52">
        <v>13</v>
      </c>
      <c r="S28" s="52">
        <v>13</v>
      </c>
      <c r="T28" s="53">
        <f t="shared" si="17"/>
        <v>6</v>
      </c>
      <c r="U28" s="54">
        <f t="shared" si="18"/>
        <v>12.4</v>
      </c>
      <c r="V28" s="52">
        <v>14</v>
      </c>
      <c r="W28" s="52">
        <v>10</v>
      </c>
      <c r="X28" s="52">
        <v>13</v>
      </c>
      <c r="Y28" s="52">
        <v>11</v>
      </c>
      <c r="Z28" s="53">
        <f t="shared" si="19"/>
        <v>5</v>
      </c>
      <c r="AA28" s="54">
        <f t="shared" si="20"/>
        <v>4.166666666666667</v>
      </c>
      <c r="AB28" s="72">
        <v>12</v>
      </c>
      <c r="AC28" s="52"/>
      <c r="AD28" s="52">
        <v>13</v>
      </c>
      <c r="AE28" s="52"/>
      <c r="AF28" s="52"/>
      <c r="AG28" s="52"/>
      <c r="AH28" s="53">
        <f t="shared" si="21"/>
        <v>2</v>
      </c>
      <c r="AI28" s="54">
        <f t="shared" si="22"/>
        <v>0</v>
      </c>
      <c r="AJ28" s="52"/>
      <c r="AK28" s="53">
        <f t="shared" si="23"/>
        <v>0</v>
      </c>
      <c r="AL28" s="54">
        <f t="shared" si="24"/>
        <v>6.166666666666667</v>
      </c>
      <c r="AM28" s="57">
        <f t="shared" si="25"/>
        <v>15</v>
      </c>
      <c r="AN28" s="56"/>
      <c r="AO28" s="54">
        <f t="shared" si="26"/>
        <v>0</v>
      </c>
      <c r="AP28" s="52"/>
      <c r="AQ28" s="53">
        <f t="shared" si="27"/>
        <v>0</v>
      </c>
      <c r="AR28" s="54">
        <f t="shared" si="28"/>
        <v>0</v>
      </c>
      <c r="AS28" s="53">
        <f t="shared" si="29"/>
        <v>0</v>
      </c>
      <c r="AT28" s="54">
        <f t="shared" si="12"/>
        <v>3.0833333333333335</v>
      </c>
      <c r="AU28" s="54">
        <f t="shared" si="31"/>
        <v>15.416666666666668</v>
      </c>
      <c r="AV28" s="55" t="str">
        <f t="shared" si="30"/>
        <v>Non Validée</v>
      </c>
      <c r="AW28" s="54">
        <f t="shared" si="13"/>
        <v>15</v>
      </c>
      <c r="AX28" s="55" t="str">
        <f t="shared" si="32"/>
        <v>Insatisfaisant</v>
      </c>
      <c r="AY28" s="50" t="str">
        <f>IF(AV28="Validée","Admis en L3 LMD",IF(OR(AX28="Insuffisant",AX28="Insatisfaisant"),"Ajourné",CONCATENATE("Admis en L3 LMD avec crédits à valider des UE :",IF(#REF!&lt;#REF!,#REF!,"")," ",IF(#REF!&lt;#REF!,#REF!,"")," ",IF(#REF!&lt;#REF!,#REF!,"")," ",IF(#REF!&lt;#REF!,#REF!,"")," ",IF(#REF!&lt;#REF!,#REF!,"")," ",IF(O28&lt;$I$7,$O$5,"")," ",IF(Z28&lt;$U$7,$Z$5,"")," ",IF(AH28&lt;$AA$7,$AH$5,"")," ",IF(AK28&lt;$AI$7,$AK$5,""))))</f>
        <v>Ajourné</v>
      </c>
    </row>
    <row r="29" spans="1:51" s="58" customFormat="1" ht="16.25" customHeight="1" x14ac:dyDescent="0.35">
      <c r="A29" s="51" t="s">
        <v>54</v>
      </c>
      <c r="B29" s="52" t="s">
        <v>104</v>
      </c>
      <c r="C29" s="70"/>
      <c r="D29" s="70" t="s">
        <v>200</v>
      </c>
      <c r="E29" s="70" t="s">
        <v>201</v>
      </c>
      <c r="F29" s="70"/>
      <c r="G29" s="52"/>
      <c r="H29" s="52"/>
      <c r="I29" s="54">
        <f t="shared" si="14"/>
        <v>1.2</v>
      </c>
      <c r="J29" s="52"/>
      <c r="K29" s="52"/>
      <c r="L29" s="52">
        <v>3</v>
      </c>
      <c r="M29" s="52">
        <v>3</v>
      </c>
      <c r="N29" s="52"/>
      <c r="O29" s="53">
        <f t="shared" si="15"/>
        <v>0</v>
      </c>
      <c r="P29" s="54">
        <f t="shared" si="16"/>
        <v>2</v>
      </c>
      <c r="Q29" s="52">
        <v>0</v>
      </c>
      <c r="R29" s="52">
        <v>0</v>
      </c>
      <c r="S29" s="52">
        <v>6</v>
      </c>
      <c r="T29" s="53">
        <f t="shared" si="17"/>
        <v>0</v>
      </c>
      <c r="U29" s="54">
        <f t="shared" si="18"/>
        <v>6.8</v>
      </c>
      <c r="V29" s="52">
        <v>13</v>
      </c>
      <c r="W29" s="52">
        <v>0</v>
      </c>
      <c r="X29" s="52">
        <v>0</v>
      </c>
      <c r="Y29" s="52">
        <v>8</v>
      </c>
      <c r="Z29" s="53">
        <f t="shared" si="19"/>
        <v>2</v>
      </c>
      <c r="AA29" s="54">
        <f t="shared" si="20"/>
        <v>2.5</v>
      </c>
      <c r="AB29" s="72">
        <v>6</v>
      </c>
      <c r="AC29" s="52"/>
      <c r="AD29" s="52">
        <v>9</v>
      </c>
      <c r="AE29" s="52"/>
      <c r="AF29" s="52"/>
      <c r="AG29" s="52"/>
      <c r="AH29" s="53">
        <f t="shared" si="21"/>
        <v>0</v>
      </c>
      <c r="AI29" s="54">
        <f t="shared" si="22"/>
        <v>0</v>
      </c>
      <c r="AJ29" s="52"/>
      <c r="AK29" s="53">
        <f t="shared" si="23"/>
        <v>0</v>
      </c>
      <c r="AL29" s="54">
        <f t="shared" si="24"/>
        <v>2.2333333333333334</v>
      </c>
      <c r="AM29" s="57">
        <f t="shared" si="25"/>
        <v>2</v>
      </c>
      <c r="AN29" s="56"/>
      <c r="AO29" s="54">
        <f t="shared" si="26"/>
        <v>0</v>
      </c>
      <c r="AP29" s="52"/>
      <c r="AQ29" s="53">
        <f t="shared" si="27"/>
        <v>0</v>
      </c>
      <c r="AR29" s="54">
        <f t="shared" si="28"/>
        <v>0</v>
      </c>
      <c r="AS29" s="53">
        <f t="shared" si="29"/>
        <v>0</v>
      </c>
      <c r="AT29" s="54">
        <f t="shared" si="12"/>
        <v>1.1166666666666667</v>
      </c>
      <c r="AU29" s="54">
        <f t="shared" si="31"/>
        <v>5.583333333333333</v>
      </c>
      <c r="AV29" s="55" t="str">
        <f t="shared" si="30"/>
        <v>Non Validée</v>
      </c>
      <c r="AW29" s="54">
        <f t="shared" si="13"/>
        <v>2</v>
      </c>
      <c r="AX29" s="55" t="str">
        <f t="shared" si="32"/>
        <v>Insatisfaisant</v>
      </c>
      <c r="AY29" s="50" t="str">
        <f>IF(AV29="Validée","Admis en L3 LMD",IF(OR(AX29="Insuffisant",AX29="Insatisfaisant"),"Ajourné",CONCATENATE("Admis en L3 LMD avec crédits à valider des UE :",IF(#REF!&lt;#REF!,#REF!,"")," ",IF(#REF!&lt;#REF!,#REF!,"")," ",IF(#REF!&lt;#REF!,#REF!,"")," ",IF(#REF!&lt;#REF!,#REF!,"")," ",IF(#REF!&lt;#REF!,#REF!,"")," ",IF(O29&lt;$I$7,$O$5,"")," ",IF(Z29&lt;$U$7,$Z$5,"")," ",IF(AH29&lt;$AA$7,$AH$5,"")," ",IF(AK29&lt;$AI$7,$AK$5,""))))</f>
        <v>Ajourné</v>
      </c>
    </row>
    <row r="30" spans="1:51" s="58" customFormat="1" ht="17.399999999999999" customHeight="1" x14ac:dyDescent="0.35">
      <c r="A30" s="51" t="s">
        <v>55</v>
      </c>
      <c r="B30" s="52" t="s">
        <v>105</v>
      </c>
      <c r="C30" s="70"/>
      <c r="D30" s="70" t="s">
        <v>211</v>
      </c>
      <c r="E30" s="70" t="s">
        <v>202</v>
      </c>
      <c r="F30" s="70"/>
      <c r="G30" s="52"/>
      <c r="H30" s="52"/>
      <c r="I30" s="54">
        <f t="shared" si="14"/>
        <v>5.4</v>
      </c>
      <c r="J30" s="52"/>
      <c r="K30" s="52"/>
      <c r="L30" s="52">
        <v>15</v>
      </c>
      <c r="M30" s="52">
        <v>12</v>
      </c>
      <c r="N30" s="52"/>
      <c r="O30" s="53">
        <f t="shared" si="15"/>
        <v>2</v>
      </c>
      <c r="P30" s="54">
        <f t="shared" si="16"/>
        <v>11.333333333333334</v>
      </c>
      <c r="Q30" s="52">
        <v>9</v>
      </c>
      <c r="R30" s="52">
        <v>14</v>
      </c>
      <c r="S30" s="52">
        <v>11</v>
      </c>
      <c r="T30" s="53">
        <f t="shared" si="17"/>
        <v>6</v>
      </c>
      <c r="U30" s="54">
        <f t="shared" si="18"/>
        <v>12</v>
      </c>
      <c r="V30" s="52">
        <v>12</v>
      </c>
      <c r="W30" s="52">
        <v>8</v>
      </c>
      <c r="X30" s="52">
        <v>14</v>
      </c>
      <c r="Y30" s="52">
        <v>14</v>
      </c>
      <c r="Z30" s="53">
        <f t="shared" si="19"/>
        <v>5</v>
      </c>
      <c r="AA30" s="54">
        <f t="shared" si="20"/>
        <v>4</v>
      </c>
      <c r="AB30" s="72">
        <v>12</v>
      </c>
      <c r="AC30" s="52"/>
      <c r="AD30" s="52">
        <v>12</v>
      </c>
      <c r="AE30" s="52"/>
      <c r="AF30" s="52"/>
      <c r="AG30" s="52"/>
      <c r="AH30" s="53">
        <f t="shared" si="21"/>
        <v>2</v>
      </c>
      <c r="AI30" s="54">
        <f t="shared" si="22"/>
        <v>0</v>
      </c>
      <c r="AJ30" s="52"/>
      <c r="AK30" s="53">
        <f t="shared" si="23"/>
        <v>0</v>
      </c>
      <c r="AL30" s="54">
        <f t="shared" si="24"/>
        <v>5.9666666666666668</v>
      </c>
      <c r="AM30" s="57">
        <f t="shared" si="25"/>
        <v>15</v>
      </c>
      <c r="AN30" s="56"/>
      <c r="AO30" s="54">
        <f t="shared" si="26"/>
        <v>0</v>
      </c>
      <c r="AP30" s="52"/>
      <c r="AQ30" s="53">
        <f t="shared" si="27"/>
        <v>0</v>
      </c>
      <c r="AR30" s="54">
        <f t="shared" si="28"/>
        <v>0</v>
      </c>
      <c r="AS30" s="53">
        <f t="shared" si="29"/>
        <v>0</v>
      </c>
      <c r="AT30" s="54">
        <f t="shared" si="12"/>
        <v>2.9833333333333334</v>
      </c>
      <c r="AU30" s="54">
        <f t="shared" si="31"/>
        <v>14.916666666666668</v>
      </c>
      <c r="AV30" s="55" t="str">
        <f t="shared" si="30"/>
        <v>Non Validée</v>
      </c>
      <c r="AW30" s="54">
        <f t="shared" si="13"/>
        <v>15</v>
      </c>
      <c r="AX30" s="55" t="str">
        <f t="shared" si="32"/>
        <v>Insatisfaisant</v>
      </c>
      <c r="AY30" s="50" t="str">
        <f>IF(AV30="Validée","Admis en L3 LMD",IF(OR(AX30="Insuffisant",AX30="Insatisfaisant"),"Ajourné",CONCATENATE("Admis en L3 LMD avec crédits à valider des UE :",IF(#REF!&lt;#REF!,#REF!,"")," ",IF(#REF!&lt;#REF!,#REF!,"")," ",IF(#REF!&lt;#REF!,#REF!,"")," ",IF(#REF!&lt;#REF!,#REF!,"")," ",IF(#REF!&lt;#REF!,#REF!,"")," ",IF(O30&lt;$I$7,$O$5,"")," ",IF(Z30&lt;$U$7,$Z$5,"")," ",IF(AH30&lt;$AA$7,$AH$5,"")," ",IF(AK30&lt;$AI$7,$AK$5,""))))</f>
        <v>Ajourné</v>
      </c>
    </row>
    <row r="31" spans="1:51" s="58" customFormat="1" ht="15.5" x14ac:dyDescent="0.35">
      <c r="A31" s="51" t="s">
        <v>56</v>
      </c>
      <c r="B31" s="52" t="s">
        <v>106</v>
      </c>
      <c r="C31" s="70"/>
      <c r="D31" s="70" t="s">
        <v>203</v>
      </c>
      <c r="E31" s="70" t="s">
        <v>204</v>
      </c>
      <c r="F31" s="70"/>
      <c r="G31" s="52"/>
      <c r="H31" s="52"/>
      <c r="I31" s="54">
        <f t="shared" si="14"/>
        <v>4.8</v>
      </c>
      <c r="J31" s="52"/>
      <c r="K31" s="52"/>
      <c r="L31" s="52">
        <v>15</v>
      </c>
      <c r="M31" s="52">
        <v>9</v>
      </c>
      <c r="N31" s="52"/>
      <c r="O31" s="53">
        <f t="shared" si="15"/>
        <v>1</v>
      </c>
      <c r="P31" s="54">
        <f t="shared" si="16"/>
        <v>2.6666666666666665</v>
      </c>
      <c r="Q31" s="52"/>
      <c r="R31" s="52">
        <v>8</v>
      </c>
      <c r="S31" s="52">
        <v>0</v>
      </c>
      <c r="T31" s="53">
        <f t="shared" si="17"/>
        <v>0</v>
      </c>
      <c r="U31" s="54">
        <f t="shared" si="18"/>
        <v>5.6</v>
      </c>
      <c r="V31" s="52">
        <v>12</v>
      </c>
      <c r="W31" s="52">
        <v>4</v>
      </c>
      <c r="X31" s="52">
        <v>0</v>
      </c>
      <c r="Y31" s="52"/>
      <c r="Z31" s="53">
        <f t="shared" si="19"/>
        <v>2</v>
      </c>
      <c r="AA31" s="54">
        <f t="shared" si="20"/>
        <v>4.333333333333333</v>
      </c>
      <c r="AB31" s="72">
        <v>6</v>
      </c>
      <c r="AC31" s="52"/>
      <c r="AD31" s="52">
        <v>10</v>
      </c>
      <c r="AE31" s="52"/>
      <c r="AF31" s="52">
        <v>10</v>
      </c>
      <c r="AG31" s="52"/>
      <c r="AH31" s="53">
        <f t="shared" si="21"/>
        <v>2</v>
      </c>
      <c r="AI31" s="54">
        <f t="shared" si="22"/>
        <v>0</v>
      </c>
      <c r="AJ31" s="52"/>
      <c r="AK31" s="53">
        <f t="shared" si="23"/>
        <v>0</v>
      </c>
      <c r="AL31" s="54">
        <f t="shared" si="24"/>
        <v>3.1333333333333333</v>
      </c>
      <c r="AM31" s="57">
        <f t="shared" si="25"/>
        <v>5</v>
      </c>
      <c r="AN31" s="56"/>
      <c r="AO31" s="54">
        <f t="shared" si="26"/>
        <v>0</v>
      </c>
      <c r="AP31" s="52"/>
      <c r="AQ31" s="53">
        <f t="shared" si="27"/>
        <v>0</v>
      </c>
      <c r="AR31" s="54">
        <f t="shared" si="28"/>
        <v>0</v>
      </c>
      <c r="AS31" s="53">
        <f t="shared" si="29"/>
        <v>0</v>
      </c>
      <c r="AT31" s="54">
        <f t="shared" si="12"/>
        <v>1.5666666666666667</v>
      </c>
      <c r="AU31" s="54">
        <f t="shared" si="31"/>
        <v>7.8333333333333339</v>
      </c>
      <c r="AV31" s="55" t="str">
        <f t="shared" si="30"/>
        <v>Non Validée</v>
      </c>
      <c r="AW31" s="54">
        <f t="shared" si="13"/>
        <v>5</v>
      </c>
      <c r="AX31" s="55" t="str">
        <f t="shared" si="32"/>
        <v>Insatisfaisant</v>
      </c>
      <c r="AY31" s="50" t="str">
        <f>IF(AV31="Validée","Admis en L3 LMD",IF(OR(AX31="Insuffisant",AX31="Insatisfaisant"),"Ajourné",CONCATENATE("Admis en L3 LMD avec crédits à valider des UE :",IF(#REF!&lt;#REF!,#REF!,"")," ",IF(#REF!&lt;#REF!,#REF!,"")," ",IF(#REF!&lt;#REF!,#REF!,"")," ",IF(#REF!&lt;#REF!,#REF!,"")," ",IF(#REF!&lt;#REF!,#REF!,"")," ",IF(O31&lt;$I$7,$O$5,"")," ",IF(Z31&lt;$U$7,$Z$5,"")," ",IF(AH31&lt;$AA$7,$AH$5,"")," ",IF(AK31&lt;$AI$7,$AK$5,""))))</f>
        <v>Ajourné</v>
      </c>
    </row>
    <row r="32" spans="1:51" s="58" customFormat="1" ht="16.25" customHeight="1" x14ac:dyDescent="0.35">
      <c r="A32" s="51" t="s">
        <v>57</v>
      </c>
      <c r="B32" s="52" t="s">
        <v>107</v>
      </c>
      <c r="C32" s="70"/>
      <c r="D32" s="70" t="s">
        <v>205</v>
      </c>
      <c r="E32" s="70" t="s">
        <v>206</v>
      </c>
      <c r="F32" s="70"/>
      <c r="G32" s="52"/>
      <c r="H32" s="52"/>
      <c r="I32" s="54">
        <f t="shared" si="14"/>
        <v>6</v>
      </c>
      <c r="J32" s="52"/>
      <c r="K32" s="52"/>
      <c r="L32" s="52">
        <v>16</v>
      </c>
      <c r="M32" s="52">
        <v>14</v>
      </c>
      <c r="N32" s="52"/>
      <c r="O32" s="53">
        <f t="shared" si="15"/>
        <v>2</v>
      </c>
      <c r="P32" s="54">
        <f t="shared" si="16"/>
        <v>14.666666666666666</v>
      </c>
      <c r="Q32" s="52">
        <v>13</v>
      </c>
      <c r="R32" s="52">
        <v>15</v>
      </c>
      <c r="S32" s="52">
        <v>16</v>
      </c>
      <c r="T32" s="53">
        <f t="shared" si="17"/>
        <v>6</v>
      </c>
      <c r="U32" s="54">
        <f t="shared" si="18"/>
        <v>11.8</v>
      </c>
      <c r="V32" s="52">
        <v>11</v>
      </c>
      <c r="W32" s="52">
        <v>12</v>
      </c>
      <c r="X32" s="52">
        <v>11</v>
      </c>
      <c r="Y32" s="52">
        <v>14</v>
      </c>
      <c r="Z32" s="53">
        <f t="shared" si="19"/>
        <v>5</v>
      </c>
      <c r="AA32" s="54">
        <f t="shared" si="20"/>
        <v>6.666666666666667</v>
      </c>
      <c r="AB32" s="72">
        <v>13</v>
      </c>
      <c r="AC32" s="52"/>
      <c r="AD32" s="52">
        <v>15</v>
      </c>
      <c r="AE32" s="52"/>
      <c r="AF32" s="52">
        <v>12</v>
      </c>
      <c r="AG32" s="52"/>
      <c r="AH32" s="53">
        <f t="shared" si="21"/>
        <v>3</v>
      </c>
      <c r="AI32" s="54">
        <f t="shared" si="22"/>
        <v>15</v>
      </c>
      <c r="AJ32" s="52">
        <v>15</v>
      </c>
      <c r="AK32" s="53">
        <f t="shared" si="23"/>
        <v>8</v>
      </c>
      <c r="AL32" s="54">
        <f t="shared" si="24"/>
        <v>11.233333333333333</v>
      </c>
      <c r="AM32" s="57">
        <f t="shared" si="25"/>
        <v>24</v>
      </c>
      <c r="AN32" s="56"/>
      <c r="AO32" s="54">
        <f t="shared" si="26"/>
        <v>0</v>
      </c>
      <c r="AP32" s="52"/>
      <c r="AQ32" s="53">
        <f t="shared" si="27"/>
        <v>0</v>
      </c>
      <c r="AR32" s="54">
        <f t="shared" si="28"/>
        <v>0</v>
      </c>
      <c r="AS32" s="53">
        <f t="shared" si="29"/>
        <v>0</v>
      </c>
      <c r="AT32" s="54">
        <f t="shared" si="12"/>
        <v>5.6166666666666663</v>
      </c>
      <c r="AU32" s="54">
        <f t="shared" si="31"/>
        <v>28.083333333333332</v>
      </c>
      <c r="AV32" s="55" t="str">
        <f t="shared" si="30"/>
        <v>Non Validée</v>
      </c>
      <c r="AW32" s="54">
        <f t="shared" si="13"/>
        <v>24</v>
      </c>
      <c r="AX32" s="55" t="str">
        <f t="shared" si="32"/>
        <v>Insatisfaisant</v>
      </c>
      <c r="AY32" s="50" t="str">
        <f>IF(AV32="Validée","Admis en L3 LMD",IF(OR(AX32="Insuffisant",AX32="Insatisfaisant"),"Ajourné",CONCATENATE("Admis en L3 LMD avec crédits à valider des UE :",IF(#REF!&lt;#REF!,#REF!,"")," ",IF(#REF!&lt;#REF!,#REF!,"")," ",IF(#REF!&lt;#REF!,#REF!,"")," ",IF(#REF!&lt;#REF!,#REF!,"")," ",IF(#REF!&lt;#REF!,#REF!,"")," ",IF(O32&lt;$I$7,$O$5,"")," ",IF(Z32&lt;$U$7,$Z$5,"")," ",IF(AH32&lt;$AA$7,$AH$5,"")," ",IF(AK32&lt;$AI$7,$AK$5,""))))</f>
        <v>Ajourné</v>
      </c>
    </row>
    <row r="33" spans="1:51" s="58" customFormat="1" ht="15.5" x14ac:dyDescent="0.35">
      <c r="A33" s="51" t="s">
        <v>58</v>
      </c>
      <c r="B33" s="52" t="s">
        <v>108</v>
      </c>
      <c r="C33" s="70"/>
      <c r="D33" s="70" t="s">
        <v>207</v>
      </c>
      <c r="E33" s="70" t="s">
        <v>208</v>
      </c>
      <c r="F33" s="70"/>
      <c r="G33" s="52"/>
      <c r="H33" s="52"/>
      <c r="I33" s="54">
        <f t="shared" si="14"/>
        <v>3.2</v>
      </c>
      <c r="J33" s="52"/>
      <c r="K33" s="52"/>
      <c r="L33" s="52">
        <v>8</v>
      </c>
      <c r="M33" s="52">
        <v>8</v>
      </c>
      <c r="N33" s="52"/>
      <c r="O33" s="53">
        <f t="shared" si="15"/>
        <v>0</v>
      </c>
      <c r="P33" s="54">
        <f t="shared" si="16"/>
        <v>13.666666666666666</v>
      </c>
      <c r="Q33" s="52">
        <v>13</v>
      </c>
      <c r="R33" s="52">
        <v>13</v>
      </c>
      <c r="S33" s="52">
        <v>15</v>
      </c>
      <c r="T33" s="53">
        <f t="shared" si="17"/>
        <v>6</v>
      </c>
      <c r="U33" s="54">
        <f t="shared" si="18"/>
        <v>9.6</v>
      </c>
      <c r="V33" s="52">
        <v>10</v>
      </c>
      <c r="W33" s="52">
        <v>5</v>
      </c>
      <c r="X33" s="52">
        <v>11</v>
      </c>
      <c r="Y33" s="52">
        <v>12</v>
      </c>
      <c r="Z33" s="53">
        <f t="shared" si="19"/>
        <v>4</v>
      </c>
      <c r="AA33" s="54">
        <f t="shared" si="20"/>
        <v>2.5</v>
      </c>
      <c r="AB33" s="72">
        <v>0</v>
      </c>
      <c r="AC33" s="52"/>
      <c r="AD33" s="52">
        <v>15</v>
      </c>
      <c r="AE33" s="52"/>
      <c r="AF33" s="52"/>
      <c r="AG33" s="52"/>
      <c r="AH33" s="53">
        <f t="shared" si="21"/>
        <v>1</v>
      </c>
      <c r="AI33" s="54">
        <f t="shared" si="22"/>
        <v>0</v>
      </c>
      <c r="AJ33" s="52"/>
      <c r="AK33" s="53">
        <f t="shared" si="23"/>
        <v>0</v>
      </c>
      <c r="AL33" s="54">
        <f t="shared" si="24"/>
        <v>5.3666666666666663</v>
      </c>
      <c r="AM33" s="57">
        <f t="shared" si="25"/>
        <v>11</v>
      </c>
      <c r="AN33" s="56"/>
      <c r="AO33" s="54">
        <f t="shared" si="26"/>
        <v>0</v>
      </c>
      <c r="AP33" s="52"/>
      <c r="AQ33" s="53">
        <f t="shared" si="27"/>
        <v>0</v>
      </c>
      <c r="AR33" s="54">
        <f t="shared" si="28"/>
        <v>0</v>
      </c>
      <c r="AS33" s="53">
        <f t="shared" si="29"/>
        <v>0</v>
      </c>
      <c r="AT33" s="54">
        <f t="shared" si="12"/>
        <v>2.6833333333333331</v>
      </c>
      <c r="AU33" s="54">
        <f t="shared" si="31"/>
        <v>13.416666666666666</v>
      </c>
      <c r="AV33" s="55" t="str">
        <f t="shared" si="30"/>
        <v>Non Validée</v>
      </c>
      <c r="AW33" s="54">
        <f t="shared" si="13"/>
        <v>11</v>
      </c>
      <c r="AX33" s="55" t="str">
        <f t="shared" si="32"/>
        <v>Insatisfaisant</v>
      </c>
      <c r="AY33" s="50" t="str">
        <f>IF(AV33="Validée","Admis en L3 LMD",IF(OR(AX33="Insuffisant",AX33="Insatisfaisant"),"Ajourné",CONCATENATE("Admis en L3 LMD avec crédits à valider des UE :",IF(#REF!&lt;#REF!,#REF!,"")," ",IF(#REF!&lt;#REF!,#REF!,"")," ",IF(#REF!&lt;#REF!,#REF!,"")," ",IF(#REF!&lt;#REF!,#REF!,"")," ",IF(#REF!&lt;#REF!,#REF!,"")," ",IF(O33&lt;$I$7,$O$5,"")," ",IF(Z33&lt;$U$7,$Z$5,"")," ",IF(AH33&lt;$AA$7,$AH$5,"")," ",IF(AK33&lt;$AI$7,$AK$5,""))))</f>
        <v>Ajourné</v>
      </c>
    </row>
    <row r="34" spans="1:51" s="58" customFormat="1" ht="15.5" x14ac:dyDescent="0.35">
      <c r="A34" s="51" t="s">
        <v>59</v>
      </c>
      <c r="B34" s="52" t="s">
        <v>109</v>
      </c>
      <c r="C34" s="70"/>
      <c r="D34" s="70" t="s">
        <v>209</v>
      </c>
      <c r="E34" s="70" t="s">
        <v>210</v>
      </c>
      <c r="F34" s="70"/>
      <c r="G34" s="52"/>
      <c r="H34" s="52"/>
      <c r="I34" s="54">
        <f t="shared" si="14"/>
        <v>6.2</v>
      </c>
      <c r="J34" s="52"/>
      <c r="K34" s="52"/>
      <c r="L34" s="52">
        <v>15</v>
      </c>
      <c r="M34" s="52">
        <v>16</v>
      </c>
      <c r="N34" s="52"/>
      <c r="O34" s="53">
        <f t="shared" si="15"/>
        <v>2</v>
      </c>
      <c r="P34" s="54">
        <f t="shared" si="16"/>
        <v>15</v>
      </c>
      <c r="Q34" s="52">
        <v>15</v>
      </c>
      <c r="R34" s="52">
        <v>15</v>
      </c>
      <c r="S34" s="52">
        <v>15</v>
      </c>
      <c r="T34" s="53">
        <f t="shared" si="17"/>
        <v>6</v>
      </c>
      <c r="U34" s="54">
        <f t="shared" si="18"/>
        <v>13.4</v>
      </c>
      <c r="V34" s="52">
        <v>14</v>
      </c>
      <c r="W34" s="52">
        <v>10</v>
      </c>
      <c r="X34" s="52">
        <v>16</v>
      </c>
      <c r="Y34" s="52">
        <v>13</v>
      </c>
      <c r="Z34" s="53">
        <f t="shared" si="19"/>
        <v>5</v>
      </c>
      <c r="AA34" s="54">
        <f t="shared" si="20"/>
        <v>7.333333333333333</v>
      </c>
      <c r="AB34" s="72">
        <v>14</v>
      </c>
      <c r="AC34" s="52"/>
      <c r="AD34" s="52">
        <v>15</v>
      </c>
      <c r="AE34" s="52"/>
      <c r="AF34" s="52">
        <v>15</v>
      </c>
      <c r="AG34" s="52"/>
      <c r="AH34" s="53">
        <f t="shared" si="21"/>
        <v>3</v>
      </c>
      <c r="AI34" s="54">
        <f t="shared" si="22"/>
        <v>15</v>
      </c>
      <c r="AJ34" s="52">
        <v>15</v>
      </c>
      <c r="AK34" s="53">
        <f t="shared" si="23"/>
        <v>8</v>
      </c>
      <c r="AL34" s="54">
        <f t="shared" si="24"/>
        <v>11.733333333333333</v>
      </c>
      <c r="AM34" s="57">
        <f t="shared" si="25"/>
        <v>24</v>
      </c>
      <c r="AN34" s="56"/>
      <c r="AO34" s="54">
        <f t="shared" si="26"/>
        <v>0</v>
      </c>
      <c r="AP34" s="52"/>
      <c r="AQ34" s="53">
        <f t="shared" si="27"/>
        <v>0</v>
      </c>
      <c r="AR34" s="54">
        <f t="shared" si="28"/>
        <v>0</v>
      </c>
      <c r="AS34" s="53">
        <f t="shared" si="29"/>
        <v>0</v>
      </c>
      <c r="AT34" s="54">
        <f t="shared" si="12"/>
        <v>5.8666666666666663</v>
      </c>
      <c r="AU34" s="54">
        <f t="shared" si="31"/>
        <v>29.333333333333332</v>
      </c>
      <c r="AV34" s="55" t="str">
        <f t="shared" si="30"/>
        <v>Non Validée</v>
      </c>
      <c r="AW34" s="54">
        <f t="shared" si="13"/>
        <v>24</v>
      </c>
      <c r="AX34" s="55" t="str">
        <f t="shared" si="32"/>
        <v>Insatisfaisant</v>
      </c>
      <c r="AY34" s="50" t="str">
        <f>IF(AV34="Validée","Admis en L3 LMD",IF(OR(AX34="Insuffisant",AX34="Insatisfaisant"),"Ajourné",CONCATENATE("Admis en L3 LMD avec crédits à valider des UE :",IF(#REF!&lt;#REF!,#REF!,"")," ",IF(#REF!&lt;#REF!,#REF!,"")," ",IF(#REF!&lt;#REF!,#REF!,"")," ",IF(#REF!&lt;#REF!,#REF!,"")," ",IF(#REF!&lt;#REF!,#REF!,"")," ",IF(O34&lt;$I$7,$O$5,"")," ",IF(Z34&lt;$U$7,$Z$5,"")," ",IF(AH34&lt;$AA$7,$AH$5,"")," ",IF(AK34&lt;$AI$7,$AK$5,""))))</f>
        <v>Ajourné</v>
      </c>
    </row>
    <row r="35" spans="1:51" s="58" customFormat="1" ht="15.5" x14ac:dyDescent="0.35">
      <c r="A35" s="51" t="s">
        <v>60</v>
      </c>
      <c r="B35" s="52" t="s">
        <v>110</v>
      </c>
      <c r="C35" s="70"/>
      <c r="D35" s="70"/>
      <c r="E35" s="70"/>
      <c r="F35" s="70"/>
      <c r="G35" s="52"/>
      <c r="H35" s="52"/>
      <c r="I35" s="54">
        <f t="shared" si="14"/>
        <v>0</v>
      </c>
      <c r="J35" s="52"/>
      <c r="K35" s="52"/>
      <c r="L35" s="52"/>
      <c r="M35" s="52"/>
      <c r="N35" s="52"/>
      <c r="O35" s="53">
        <f t="shared" si="15"/>
        <v>0</v>
      </c>
      <c r="P35" s="54">
        <f t="shared" si="16"/>
        <v>0</v>
      </c>
      <c r="Q35" s="52"/>
      <c r="R35" s="52"/>
      <c r="S35" s="52"/>
      <c r="T35" s="53">
        <f t="shared" si="17"/>
        <v>0</v>
      </c>
      <c r="U35" s="54">
        <f t="shared" si="18"/>
        <v>0</v>
      </c>
      <c r="V35" s="52"/>
      <c r="W35" s="52"/>
      <c r="X35" s="52"/>
      <c r="Y35" s="52"/>
      <c r="Z35" s="53">
        <f t="shared" si="19"/>
        <v>0</v>
      </c>
      <c r="AA35" s="54">
        <f t="shared" si="20"/>
        <v>0</v>
      </c>
      <c r="AB35" s="72"/>
      <c r="AC35" s="52"/>
      <c r="AD35" s="52"/>
      <c r="AE35" s="52"/>
      <c r="AF35" s="52"/>
      <c r="AG35" s="52"/>
      <c r="AH35" s="53">
        <f t="shared" si="21"/>
        <v>0</v>
      </c>
      <c r="AI35" s="54">
        <f t="shared" si="22"/>
        <v>0</v>
      </c>
      <c r="AJ35" s="52"/>
      <c r="AK35" s="53">
        <f t="shared" si="23"/>
        <v>0</v>
      </c>
      <c r="AL35" s="54">
        <f t="shared" si="24"/>
        <v>0</v>
      </c>
      <c r="AM35" s="57">
        <f t="shared" si="25"/>
        <v>0</v>
      </c>
      <c r="AN35" s="56"/>
      <c r="AO35" s="54">
        <f t="shared" si="26"/>
        <v>0</v>
      </c>
      <c r="AP35" s="52"/>
      <c r="AQ35" s="53">
        <f t="shared" si="27"/>
        <v>0</v>
      </c>
      <c r="AR35" s="54">
        <f t="shared" si="28"/>
        <v>0</v>
      </c>
      <c r="AS35" s="53">
        <f t="shared" si="29"/>
        <v>0</v>
      </c>
      <c r="AT35" s="54">
        <f t="shared" si="12"/>
        <v>0</v>
      </c>
      <c r="AU35" s="54">
        <f t="shared" si="31"/>
        <v>0</v>
      </c>
      <c r="AV35" s="55" t="str">
        <f t="shared" si="30"/>
        <v>Non Validée</v>
      </c>
      <c r="AW35" s="54">
        <f t="shared" si="13"/>
        <v>0</v>
      </c>
      <c r="AX35" s="55" t="str">
        <f t="shared" si="32"/>
        <v>Insatisfaisant</v>
      </c>
      <c r="AY35" s="50" t="str">
        <f>IF(AV35="Validée","Admis en L3 LMD",IF(OR(AX35="Insuffisant",AX35="Insatisfaisant"),"Ajourné",CONCATENATE("Admis en L3 LMD avec crédits à valider des UE :",IF(#REF!&lt;#REF!,#REF!,"")," ",IF(#REF!&lt;#REF!,#REF!,"")," ",IF(#REF!&lt;#REF!,#REF!,"")," ",IF(#REF!&lt;#REF!,#REF!,"")," ",IF(#REF!&lt;#REF!,#REF!,"")," ",IF(O35&lt;$I$7,$O$5,"")," ",IF(Z35&lt;$U$7,$Z$5,"")," ",IF(AH35&lt;$AA$7,$AH$5,"")," ",IF(AK35&lt;$AI$7,$AK$5,""))))</f>
        <v>Ajourné</v>
      </c>
    </row>
    <row r="36" spans="1:51" s="58" customFormat="1" ht="15.5" x14ac:dyDescent="0.35">
      <c r="A36" s="51" t="s">
        <v>61</v>
      </c>
      <c r="B36" s="52" t="s">
        <v>111</v>
      </c>
      <c r="C36" s="70"/>
      <c r="D36" s="70"/>
      <c r="E36" s="70"/>
      <c r="F36" s="70"/>
      <c r="G36" s="52"/>
      <c r="H36" s="52"/>
      <c r="I36" s="54">
        <f t="shared" si="14"/>
        <v>0</v>
      </c>
      <c r="J36" s="52"/>
      <c r="K36" s="52"/>
      <c r="L36" s="52"/>
      <c r="M36" s="52"/>
      <c r="N36" s="52"/>
      <c r="O36" s="53">
        <f t="shared" si="15"/>
        <v>0</v>
      </c>
      <c r="P36" s="54">
        <f t="shared" si="16"/>
        <v>0</v>
      </c>
      <c r="Q36" s="52"/>
      <c r="R36" s="52"/>
      <c r="S36" s="52"/>
      <c r="T36" s="53">
        <f t="shared" si="17"/>
        <v>0</v>
      </c>
      <c r="U36" s="54">
        <f t="shared" si="18"/>
        <v>0</v>
      </c>
      <c r="V36" s="52"/>
      <c r="W36" s="52"/>
      <c r="X36" s="52"/>
      <c r="Y36" s="52"/>
      <c r="Z36" s="53">
        <f t="shared" si="19"/>
        <v>0</v>
      </c>
      <c r="AA36" s="54">
        <f t="shared" si="20"/>
        <v>0</v>
      </c>
      <c r="AB36" s="72"/>
      <c r="AC36" s="52"/>
      <c r="AD36" s="52"/>
      <c r="AE36" s="52"/>
      <c r="AF36" s="52"/>
      <c r="AG36" s="52"/>
      <c r="AH36" s="53">
        <f t="shared" si="21"/>
        <v>0</v>
      </c>
      <c r="AI36" s="54">
        <f t="shared" si="22"/>
        <v>0</v>
      </c>
      <c r="AJ36" s="52"/>
      <c r="AK36" s="53">
        <f t="shared" si="23"/>
        <v>0</v>
      </c>
      <c r="AL36" s="54">
        <f t="shared" si="24"/>
        <v>0</v>
      </c>
      <c r="AM36" s="57">
        <f t="shared" si="25"/>
        <v>0</v>
      </c>
      <c r="AN36" s="56"/>
      <c r="AO36" s="54">
        <f t="shared" si="26"/>
        <v>0</v>
      </c>
      <c r="AP36" s="52"/>
      <c r="AQ36" s="53">
        <f t="shared" si="27"/>
        <v>0</v>
      </c>
      <c r="AR36" s="54">
        <f t="shared" si="28"/>
        <v>0</v>
      </c>
      <c r="AS36" s="53">
        <f t="shared" si="29"/>
        <v>0</v>
      </c>
      <c r="AT36" s="54">
        <f t="shared" si="12"/>
        <v>0</v>
      </c>
      <c r="AU36" s="54">
        <f t="shared" si="31"/>
        <v>0</v>
      </c>
      <c r="AV36" s="55" t="str">
        <f t="shared" si="30"/>
        <v>Non Validée</v>
      </c>
      <c r="AW36" s="54">
        <f t="shared" si="13"/>
        <v>0</v>
      </c>
      <c r="AX36" s="55" t="str">
        <f t="shared" si="32"/>
        <v>Insatisfaisant</v>
      </c>
      <c r="AY36" s="50" t="str">
        <f>IF(AV36="Validée","Admis en L3 LMD",IF(OR(AX36="Insuffisant",AX36="Insatisfaisant"),"Ajourné",CONCATENATE("Admis en L3 LMD avec crédits à valider des UE :",IF(#REF!&lt;#REF!,#REF!,"")," ",IF(#REF!&lt;#REF!,#REF!,"")," ",IF(#REF!&lt;#REF!,#REF!,"")," ",IF(#REF!&lt;#REF!,#REF!,"")," ",IF(#REF!&lt;#REF!,#REF!,"")," ",IF(O36&lt;$I$7,$O$5,"")," ",IF(Z36&lt;$U$7,$Z$5,"")," ",IF(AH36&lt;$AA$7,$AH$5,"")," ",IF(AK36&lt;$AI$7,$AK$5,""))))</f>
        <v>Ajourné</v>
      </c>
    </row>
    <row r="37" spans="1:51" s="58" customFormat="1" ht="15.5" x14ac:dyDescent="0.35">
      <c r="A37" s="51" t="s">
        <v>62</v>
      </c>
      <c r="B37" s="52" t="s">
        <v>112</v>
      </c>
      <c r="C37" s="70"/>
      <c r="D37" s="70"/>
      <c r="E37" s="70"/>
      <c r="F37" s="70"/>
      <c r="G37" s="52"/>
      <c r="H37" s="52"/>
      <c r="I37" s="54">
        <f t="shared" si="14"/>
        <v>0</v>
      </c>
      <c r="J37" s="52"/>
      <c r="K37" s="52"/>
      <c r="L37" s="52"/>
      <c r="M37" s="52"/>
      <c r="N37" s="52"/>
      <c r="O37" s="53">
        <f t="shared" si="15"/>
        <v>0</v>
      </c>
      <c r="P37" s="54">
        <f t="shared" si="16"/>
        <v>0</v>
      </c>
      <c r="Q37" s="52"/>
      <c r="R37" s="52"/>
      <c r="S37" s="52"/>
      <c r="T37" s="53">
        <f t="shared" si="17"/>
        <v>0</v>
      </c>
      <c r="U37" s="54">
        <f t="shared" si="18"/>
        <v>0</v>
      </c>
      <c r="V37" s="52"/>
      <c r="W37" s="52"/>
      <c r="X37" s="52"/>
      <c r="Y37" s="52"/>
      <c r="Z37" s="53">
        <f t="shared" si="19"/>
        <v>0</v>
      </c>
      <c r="AA37" s="54">
        <f t="shared" si="20"/>
        <v>0</v>
      </c>
      <c r="AB37" s="72"/>
      <c r="AC37" s="52"/>
      <c r="AD37" s="52"/>
      <c r="AE37" s="52"/>
      <c r="AF37" s="52"/>
      <c r="AG37" s="52"/>
      <c r="AH37" s="53">
        <f t="shared" si="21"/>
        <v>0</v>
      </c>
      <c r="AI37" s="54">
        <f t="shared" si="22"/>
        <v>0</v>
      </c>
      <c r="AJ37" s="52"/>
      <c r="AK37" s="53">
        <f t="shared" si="23"/>
        <v>0</v>
      </c>
      <c r="AL37" s="54">
        <f t="shared" si="24"/>
        <v>0</v>
      </c>
      <c r="AM37" s="57">
        <f t="shared" si="25"/>
        <v>0</v>
      </c>
      <c r="AN37" s="56"/>
      <c r="AO37" s="54">
        <f t="shared" si="26"/>
        <v>0</v>
      </c>
      <c r="AP37" s="52"/>
      <c r="AQ37" s="53">
        <f t="shared" si="27"/>
        <v>0</v>
      </c>
      <c r="AR37" s="54">
        <f t="shared" si="28"/>
        <v>0</v>
      </c>
      <c r="AS37" s="53">
        <f t="shared" si="29"/>
        <v>0</v>
      </c>
      <c r="AT37" s="54">
        <f t="shared" si="12"/>
        <v>0</v>
      </c>
      <c r="AU37" s="54">
        <f t="shared" si="31"/>
        <v>0</v>
      </c>
      <c r="AV37" s="55" t="str">
        <f t="shared" si="30"/>
        <v>Non Validée</v>
      </c>
      <c r="AW37" s="54">
        <f t="shared" si="13"/>
        <v>0</v>
      </c>
      <c r="AX37" s="55" t="str">
        <f t="shared" si="32"/>
        <v>Insatisfaisant</v>
      </c>
      <c r="AY37" s="50" t="str">
        <f>IF(AV37="Validée","Admis en L3 LMD",IF(OR(AX37="Insuffisant",AX37="Insatisfaisant"),"Ajourné",CONCATENATE("Admis en L3 LMD avec crédits à valider des UE :",IF(#REF!&lt;#REF!,#REF!,"")," ",IF(#REF!&lt;#REF!,#REF!,"")," ",IF(#REF!&lt;#REF!,#REF!,"")," ",IF(#REF!&lt;#REF!,#REF!,"")," ",IF(#REF!&lt;#REF!,#REF!,"")," ",IF(O37&lt;$I$7,$O$5,"")," ",IF(Z37&lt;$U$7,$Z$5,"")," ",IF(AH37&lt;$AA$7,$AH$5,"")," ",IF(AK37&lt;$AI$7,$AK$5,""))))</f>
        <v>Ajourné</v>
      </c>
    </row>
    <row r="38" spans="1:51" s="58" customFormat="1" ht="15.5" x14ac:dyDescent="0.35">
      <c r="A38" s="51" t="s">
        <v>63</v>
      </c>
      <c r="B38" s="52" t="s">
        <v>113</v>
      </c>
      <c r="C38" s="70"/>
      <c r="D38" s="70"/>
      <c r="E38" s="70"/>
      <c r="F38" s="70"/>
      <c r="G38" s="52"/>
      <c r="H38" s="52"/>
      <c r="I38" s="54">
        <f t="shared" si="14"/>
        <v>0</v>
      </c>
      <c r="J38" s="52"/>
      <c r="K38" s="52"/>
      <c r="L38" s="52"/>
      <c r="M38" s="52"/>
      <c r="N38" s="52"/>
      <c r="O38" s="53">
        <f t="shared" si="15"/>
        <v>0</v>
      </c>
      <c r="P38" s="54">
        <f t="shared" si="16"/>
        <v>0</v>
      </c>
      <c r="Q38" s="52"/>
      <c r="R38" s="52"/>
      <c r="S38" s="52"/>
      <c r="T38" s="53">
        <f t="shared" si="17"/>
        <v>0</v>
      </c>
      <c r="U38" s="54">
        <f t="shared" si="18"/>
        <v>0</v>
      </c>
      <c r="V38" s="52"/>
      <c r="W38" s="52"/>
      <c r="X38" s="52"/>
      <c r="Y38" s="52"/>
      <c r="Z38" s="53">
        <f t="shared" si="19"/>
        <v>0</v>
      </c>
      <c r="AA38" s="54">
        <f t="shared" si="20"/>
        <v>0</v>
      </c>
      <c r="AB38" s="72"/>
      <c r="AC38" s="52"/>
      <c r="AD38" s="52"/>
      <c r="AE38" s="52"/>
      <c r="AF38" s="52"/>
      <c r="AG38" s="52"/>
      <c r="AH38" s="53">
        <f t="shared" si="21"/>
        <v>0</v>
      </c>
      <c r="AI38" s="54">
        <f t="shared" si="22"/>
        <v>0</v>
      </c>
      <c r="AJ38" s="52"/>
      <c r="AK38" s="53">
        <f t="shared" si="23"/>
        <v>0</v>
      </c>
      <c r="AL38" s="54">
        <f t="shared" si="24"/>
        <v>0</v>
      </c>
      <c r="AM38" s="57">
        <f t="shared" si="25"/>
        <v>0</v>
      </c>
      <c r="AN38" s="56"/>
      <c r="AO38" s="54">
        <f t="shared" si="26"/>
        <v>0</v>
      </c>
      <c r="AP38" s="52"/>
      <c r="AQ38" s="53">
        <f t="shared" si="27"/>
        <v>0</v>
      </c>
      <c r="AR38" s="54">
        <f t="shared" si="28"/>
        <v>0</v>
      </c>
      <c r="AS38" s="53">
        <f t="shared" si="29"/>
        <v>0</v>
      </c>
      <c r="AT38" s="54">
        <f t="shared" si="12"/>
        <v>0</v>
      </c>
      <c r="AU38" s="54">
        <f t="shared" si="31"/>
        <v>0</v>
      </c>
      <c r="AV38" s="55" t="str">
        <f t="shared" si="30"/>
        <v>Non Validée</v>
      </c>
      <c r="AW38" s="54">
        <f t="shared" si="13"/>
        <v>0</v>
      </c>
      <c r="AX38" s="55" t="str">
        <f t="shared" si="32"/>
        <v>Insatisfaisant</v>
      </c>
      <c r="AY38" s="50" t="str">
        <f>IF(AV38="Validée","Admis en L3 LMD",IF(OR(AX38="Insuffisant",AX38="Insatisfaisant"),"Ajourné",CONCATENATE("Admis en L3 LMD avec crédits à valider des UE :",IF(#REF!&lt;#REF!,#REF!,"")," ",IF(#REF!&lt;#REF!,#REF!,"")," ",IF(#REF!&lt;#REF!,#REF!,"")," ",IF(#REF!&lt;#REF!,#REF!,"")," ",IF(#REF!&lt;#REF!,#REF!,"")," ",IF(O38&lt;$I$7,$O$5,"")," ",IF(Z38&lt;$U$7,$Z$5,"")," ",IF(AH38&lt;$AA$7,$AH$5,"")," ",IF(AK38&lt;$AI$7,$AK$5,""))))</f>
        <v>Ajourné</v>
      </c>
    </row>
    <row r="39" spans="1:51" s="58" customFormat="1" ht="15.5" x14ac:dyDescent="0.35">
      <c r="A39" s="51" t="s">
        <v>64</v>
      </c>
      <c r="B39" s="52" t="s">
        <v>114</v>
      </c>
      <c r="C39" s="70"/>
      <c r="D39" s="70"/>
      <c r="E39" s="70"/>
      <c r="F39" s="70"/>
      <c r="G39" s="52"/>
      <c r="H39" s="52"/>
      <c r="I39" s="54">
        <f t="shared" si="14"/>
        <v>0</v>
      </c>
      <c r="J39" s="52"/>
      <c r="K39" s="52"/>
      <c r="L39" s="52"/>
      <c r="M39" s="52"/>
      <c r="N39" s="52"/>
      <c r="O39" s="53">
        <f t="shared" si="15"/>
        <v>0</v>
      </c>
      <c r="P39" s="54">
        <f t="shared" si="16"/>
        <v>0</v>
      </c>
      <c r="Q39" s="52"/>
      <c r="R39" s="52"/>
      <c r="S39" s="52"/>
      <c r="T39" s="53">
        <f t="shared" si="17"/>
        <v>0</v>
      </c>
      <c r="U39" s="54">
        <f t="shared" si="18"/>
        <v>0</v>
      </c>
      <c r="V39" s="52"/>
      <c r="W39" s="52"/>
      <c r="X39" s="52"/>
      <c r="Y39" s="52"/>
      <c r="Z39" s="53">
        <f t="shared" si="19"/>
        <v>0</v>
      </c>
      <c r="AA39" s="54">
        <f t="shared" si="20"/>
        <v>0</v>
      </c>
      <c r="AB39" s="72"/>
      <c r="AC39" s="52"/>
      <c r="AD39" s="52"/>
      <c r="AE39" s="52"/>
      <c r="AF39" s="52"/>
      <c r="AG39" s="52"/>
      <c r="AH39" s="53">
        <f t="shared" si="21"/>
        <v>0</v>
      </c>
      <c r="AI39" s="54">
        <f t="shared" si="22"/>
        <v>0</v>
      </c>
      <c r="AJ39" s="52"/>
      <c r="AK39" s="53">
        <f t="shared" si="23"/>
        <v>0</v>
      </c>
      <c r="AL39" s="54">
        <f t="shared" si="24"/>
        <v>0</v>
      </c>
      <c r="AM39" s="57">
        <f t="shared" si="25"/>
        <v>0</v>
      </c>
      <c r="AN39" s="56"/>
      <c r="AO39" s="54">
        <f t="shared" si="26"/>
        <v>0</v>
      </c>
      <c r="AP39" s="52"/>
      <c r="AQ39" s="53">
        <f t="shared" si="27"/>
        <v>0</v>
      </c>
      <c r="AR39" s="54">
        <f t="shared" si="28"/>
        <v>0</v>
      </c>
      <c r="AS39" s="53">
        <f t="shared" si="29"/>
        <v>0</v>
      </c>
      <c r="AT39" s="54">
        <f t="shared" si="12"/>
        <v>0</v>
      </c>
      <c r="AU39" s="54">
        <f t="shared" si="31"/>
        <v>0</v>
      </c>
      <c r="AV39" s="55" t="str">
        <f t="shared" si="30"/>
        <v>Non Validée</v>
      </c>
      <c r="AW39" s="54">
        <f t="shared" si="13"/>
        <v>0</v>
      </c>
      <c r="AX39" s="55" t="str">
        <f t="shared" si="32"/>
        <v>Insatisfaisant</v>
      </c>
      <c r="AY39" s="50" t="str">
        <f>IF(AV39="Validée","Admis en L3 LMD",IF(OR(AX39="Insuffisant",AX39="Insatisfaisant"),"Ajourné",CONCATENATE("Admis en L3 LMD avec crédits à valider des UE :",IF(#REF!&lt;#REF!,#REF!,"")," ",IF(#REF!&lt;#REF!,#REF!,"")," ",IF(#REF!&lt;#REF!,#REF!,"")," ",IF(#REF!&lt;#REF!,#REF!,"")," ",IF(#REF!&lt;#REF!,#REF!,"")," ",IF(O39&lt;$I$7,$O$5,"")," ",IF(Z39&lt;$U$7,$Z$5,"")," ",IF(AH39&lt;$AA$7,$AH$5,"")," ",IF(AK39&lt;$AI$7,$AK$5,""))))</f>
        <v>Ajourné</v>
      </c>
    </row>
    <row r="40" spans="1:51" s="58" customFormat="1" ht="15.5" x14ac:dyDescent="0.35">
      <c r="A40" s="51" t="s">
        <v>65</v>
      </c>
      <c r="B40" s="52" t="s">
        <v>115</v>
      </c>
      <c r="C40" s="70"/>
      <c r="D40" s="70"/>
      <c r="E40" s="70"/>
      <c r="F40" s="70"/>
      <c r="G40" s="52"/>
      <c r="H40" s="52"/>
      <c r="I40" s="54">
        <f t="shared" si="14"/>
        <v>0</v>
      </c>
      <c r="J40" s="52"/>
      <c r="K40" s="52"/>
      <c r="L40" s="52"/>
      <c r="M40" s="52"/>
      <c r="N40" s="52"/>
      <c r="O40" s="53">
        <f t="shared" si="15"/>
        <v>0</v>
      </c>
      <c r="P40" s="54">
        <f t="shared" si="16"/>
        <v>0</v>
      </c>
      <c r="Q40" s="52"/>
      <c r="R40" s="52"/>
      <c r="S40" s="52"/>
      <c r="T40" s="53">
        <f t="shared" si="17"/>
        <v>0</v>
      </c>
      <c r="U40" s="54">
        <f t="shared" si="18"/>
        <v>0</v>
      </c>
      <c r="V40" s="52"/>
      <c r="W40" s="52"/>
      <c r="X40" s="52"/>
      <c r="Y40" s="52"/>
      <c r="Z40" s="53">
        <f t="shared" si="19"/>
        <v>0</v>
      </c>
      <c r="AA40" s="54">
        <f t="shared" si="20"/>
        <v>0</v>
      </c>
      <c r="AB40" s="72"/>
      <c r="AC40" s="52"/>
      <c r="AD40" s="52"/>
      <c r="AE40" s="52"/>
      <c r="AF40" s="52"/>
      <c r="AG40" s="52"/>
      <c r="AH40" s="53">
        <f t="shared" si="21"/>
        <v>0</v>
      </c>
      <c r="AI40" s="54">
        <f t="shared" si="22"/>
        <v>0</v>
      </c>
      <c r="AJ40" s="52"/>
      <c r="AK40" s="53">
        <f t="shared" si="23"/>
        <v>0</v>
      </c>
      <c r="AL40" s="54">
        <f t="shared" si="24"/>
        <v>0</v>
      </c>
      <c r="AM40" s="57">
        <f t="shared" si="25"/>
        <v>0</v>
      </c>
      <c r="AN40" s="56"/>
      <c r="AO40" s="54">
        <f t="shared" si="26"/>
        <v>0</v>
      </c>
      <c r="AP40" s="52"/>
      <c r="AQ40" s="53">
        <f t="shared" si="27"/>
        <v>0</v>
      </c>
      <c r="AR40" s="54">
        <f t="shared" si="28"/>
        <v>0</v>
      </c>
      <c r="AS40" s="53">
        <f t="shared" si="29"/>
        <v>0</v>
      </c>
      <c r="AT40" s="54">
        <f t="shared" si="12"/>
        <v>0</v>
      </c>
      <c r="AU40" s="54">
        <f t="shared" si="31"/>
        <v>0</v>
      </c>
      <c r="AV40" s="55" t="str">
        <f t="shared" si="30"/>
        <v>Non Validée</v>
      </c>
      <c r="AW40" s="54">
        <f t="shared" si="13"/>
        <v>0</v>
      </c>
      <c r="AX40" s="55" t="str">
        <f t="shared" si="32"/>
        <v>Insatisfaisant</v>
      </c>
      <c r="AY40" s="50" t="str">
        <f>IF(AV40="Validée","Admis en L3 LMD",IF(OR(AX40="Insuffisant",AX40="Insatisfaisant"),"Ajourné",CONCATENATE("Admis en L3 LMD avec crédits à valider des UE :",IF(#REF!&lt;#REF!,#REF!,"")," ",IF(#REF!&lt;#REF!,#REF!,"")," ",IF(#REF!&lt;#REF!,#REF!,"")," ",IF(#REF!&lt;#REF!,#REF!,"")," ",IF(#REF!&lt;#REF!,#REF!,"")," ",IF(O40&lt;$I$7,$O$5,"")," ",IF(Z40&lt;$U$7,$Z$5,"")," ",IF(AH40&lt;$AA$7,$AH$5,"")," ",IF(AK40&lt;$AI$7,$AK$5,""))))</f>
        <v>Ajourné</v>
      </c>
    </row>
    <row r="41" spans="1:51" s="58" customFormat="1" ht="15.5" x14ac:dyDescent="0.35">
      <c r="A41" s="51" t="s">
        <v>66</v>
      </c>
      <c r="B41" s="52" t="s">
        <v>116</v>
      </c>
      <c r="C41" s="70"/>
      <c r="D41" s="70"/>
      <c r="E41" s="70"/>
      <c r="F41" s="70"/>
      <c r="G41" s="52"/>
      <c r="H41" s="52"/>
      <c r="I41" s="54">
        <f t="shared" si="14"/>
        <v>0</v>
      </c>
      <c r="J41" s="52"/>
      <c r="K41" s="52"/>
      <c r="L41" s="52"/>
      <c r="M41" s="52"/>
      <c r="N41" s="52"/>
      <c r="O41" s="53">
        <f t="shared" si="15"/>
        <v>0</v>
      </c>
      <c r="P41" s="54">
        <f t="shared" si="16"/>
        <v>0</v>
      </c>
      <c r="Q41" s="52"/>
      <c r="R41" s="52"/>
      <c r="S41" s="52"/>
      <c r="T41" s="53">
        <f t="shared" si="17"/>
        <v>0</v>
      </c>
      <c r="U41" s="54">
        <f t="shared" si="18"/>
        <v>0</v>
      </c>
      <c r="V41" s="52"/>
      <c r="W41" s="52"/>
      <c r="X41" s="52"/>
      <c r="Y41" s="52"/>
      <c r="Z41" s="53">
        <f t="shared" si="19"/>
        <v>0</v>
      </c>
      <c r="AA41" s="54">
        <f t="shared" si="20"/>
        <v>0</v>
      </c>
      <c r="AB41" s="72"/>
      <c r="AC41" s="52"/>
      <c r="AD41" s="52"/>
      <c r="AE41" s="52"/>
      <c r="AF41" s="52"/>
      <c r="AG41" s="52"/>
      <c r="AH41" s="53">
        <f t="shared" si="21"/>
        <v>0</v>
      </c>
      <c r="AI41" s="54">
        <f t="shared" si="22"/>
        <v>0</v>
      </c>
      <c r="AJ41" s="52"/>
      <c r="AK41" s="53">
        <f t="shared" si="23"/>
        <v>0</v>
      </c>
      <c r="AL41" s="54">
        <f t="shared" si="24"/>
        <v>0</v>
      </c>
      <c r="AM41" s="57">
        <f t="shared" si="25"/>
        <v>0</v>
      </c>
      <c r="AN41" s="56"/>
      <c r="AO41" s="54">
        <f t="shared" si="26"/>
        <v>0</v>
      </c>
      <c r="AP41" s="52"/>
      <c r="AQ41" s="53">
        <f t="shared" si="27"/>
        <v>0</v>
      </c>
      <c r="AR41" s="54">
        <f t="shared" si="28"/>
        <v>0</v>
      </c>
      <c r="AS41" s="53">
        <f t="shared" si="29"/>
        <v>0</v>
      </c>
      <c r="AT41" s="54">
        <f t="shared" si="12"/>
        <v>0</v>
      </c>
      <c r="AU41" s="54">
        <f t="shared" si="31"/>
        <v>0</v>
      </c>
      <c r="AV41" s="55" t="str">
        <f t="shared" si="30"/>
        <v>Non Validée</v>
      </c>
      <c r="AW41" s="54">
        <f t="shared" si="13"/>
        <v>0</v>
      </c>
      <c r="AX41" s="55" t="str">
        <f t="shared" si="32"/>
        <v>Insatisfaisant</v>
      </c>
      <c r="AY41" s="50" t="str">
        <f>IF(AV41="Validée","Admis en L3 LMD",IF(OR(AX41="Insuffisant",AX41="Insatisfaisant"),"Ajourné",CONCATENATE("Admis en L3 LMD avec crédits à valider des UE :",IF(#REF!&lt;#REF!,#REF!,"")," ",IF(#REF!&lt;#REF!,#REF!,"")," ",IF(#REF!&lt;#REF!,#REF!,"")," ",IF(#REF!&lt;#REF!,#REF!,"")," ",IF(#REF!&lt;#REF!,#REF!,"")," ",IF(O41&lt;$I$7,$O$5,"")," ",IF(Z41&lt;$U$7,$Z$5,"")," ",IF(AH41&lt;$AA$7,$AH$5,"")," ",IF(AK41&lt;$AI$7,$AK$5,""))))</f>
        <v>Ajourné</v>
      </c>
    </row>
    <row r="42" spans="1:51" s="58" customFormat="1" ht="15.5" x14ac:dyDescent="0.35">
      <c r="A42" s="51" t="s">
        <v>67</v>
      </c>
      <c r="B42" s="52" t="s">
        <v>117</v>
      </c>
      <c r="C42" s="70"/>
      <c r="D42" s="70"/>
      <c r="E42" s="70"/>
      <c r="F42" s="70"/>
      <c r="G42" s="52"/>
      <c r="H42" s="52"/>
      <c r="I42" s="54">
        <f t="shared" si="14"/>
        <v>0</v>
      </c>
      <c r="J42" s="52"/>
      <c r="K42" s="52"/>
      <c r="L42" s="52"/>
      <c r="M42" s="52"/>
      <c r="N42" s="52"/>
      <c r="O42" s="53">
        <f t="shared" si="15"/>
        <v>0</v>
      </c>
      <c r="P42" s="54">
        <f t="shared" si="16"/>
        <v>0</v>
      </c>
      <c r="Q42" s="52"/>
      <c r="R42" s="52"/>
      <c r="S42" s="52"/>
      <c r="T42" s="53">
        <f t="shared" si="17"/>
        <v>0</v>
      </c>
      <c r="U42" s="54">
        <f t="shared" si="18"/>
        <v>0</v>
      </c>
      <c r="V42" s="52"/>
      <c r="W42" s="52"/>
      <c r="X42" s="52"/>
      <c r="Y42" s="52"/>
      <c r="Z42" s="53">
        <f t="shared" si="19"/>
        <v>0</v>
      </c>
      <c r="AA42" s="54">
        <f t="shared" si="20"/>
        <v>0</v>
      </c>
      <c r="AB42" s="72"/>
      <c r="AC42" s="52"/>
      <c r="AD42" s="52"/>
      <c r="AE42" s="52"/>
      <c r="AF42" s="52"/>
      <c r="AG42" s="52"/>
      <c r="AH42" s="53">
        <f t="shared" si="21"/>
        <v>0</v>
      </c>
      <c r="AI42" s="54">
        <f t="shared" si="22"/>
        <v>0</v>
      </c>
      <c r="AJ42" s="52"/>
      <c r="AK42" s="53">
        <f t="shared" si="23"/>
        <v>0</v>
      </c>
      <c r="AL42" s="54">
        <f t="shared" si="24"/>
        <v>0</v>
      </c>
      <c r="AM42" s="57">
        <f t="shared" si="25"/>
        <v>0</v>
      </c>
      <c r="AN42" s="56"/>
      <c r="AO42" s="54">
        <f t="shared" si="26"/>
        <v>0</v>
      </c>
      <c r="AP42" s="52"/>
      <c r="AQ42" s="53">
        <f t="shared" si="27"/>
        <v>0</v>
      </c>
      <c r="AR42" s="54">
        <f t="shared" si="28"/>
        <v>0</v>
      </c>
      <c r="AS42" s="53">
        <f t="shared" si="29"/>
        <v>0</v>
      </c>
      <c r="AT42" s="54">
        <f t="shared" si="12"/>
        <v>0</v>
      </c>
      <c r="AU42" s="54">
        <f t="shared" si="31"/>
        <v>0</v>
      </c>
      <c r="AV42" s="55" t="str">
        <f t="shared" si="30"/>
        <v>Non Validée</v>
      </c>
      <c r="AW42" s="54">
        <f t="shared" si="13"/>
        <v>0</v>
      </c>
      <c r="AX42" s="55" t="str">
        <f t="shared" si="32"/>
        <v>Insatisfaisant</v>
      </c>
      <c r="AY42" s="50" t="str">
        <f>IF(AV42="Validée","Admis en L3 LMD",IF(OR(AX42="Insuffisant",AX42="Insatisfaisant"),"Ajourné",CONCATENATE("Admis en L3 LMD avec crédits à valider des UE :",IF(#REF!&lt;#REF!,#REF!,"")," ",IF(#REF!&lt;#REF!,#REF!,"")," ",IF(#REF!&lt;#REF!,#REF!,"")," ",IF(#REF!&lt;#REF!,#REF!,"")," ",IF(#REF!&lt;#REF!,#REF!,"")," ",IF(O42&lt;$I$7,$O$5,"")," ",IF(Z42&lt;$U$7,$Z$5,"")," ",IF(AH42&lt;$AA$7,$AH$5,"")," ",IF(AK42&lt;$AI$7,$AK$5,""))))</f>
        <v>Ajourné</v>
      </c>
    </row>
    <row r="43" spans="1:51" s="58" customFormat="1" ht="15.5" x14ac:dyDescent="0.35">
      <c r="A43" s="51" t="s">
        <v>68</v>
      </c>
      <c r="B43" s="52" t="s">
        <v>118</v>
      </c>
      <c r="C43" s="70"/>
      <c r="D43" s="70"/>
      <c r="E43" s="70"/>
      <c r="F43" s="70"/>
      <c r="G43" s="52"/>
      <c r="H43" s="52"/>
      <c r="I43" s="54">
        <f t="shared" si="14"/>
        <v>0</v>
      </c>
      <c r="J43" s="52"/>
      <c r="K43" s="52"/>
      <c r="L43" s="52"/>
      <c r="M43" s="52"/>
      <c r="N43" s="52"/>
      <c r="O43" s="53">
        <f t="shared" si="15"/>
        <v>0</v>
      </c>
      <c r="P43" s="54">
        <f t="shared" si="16"/>
        <v>0</v>
      </c>
      <c r="Q43" s="52"/>
      <c r="R43" s="52"/>
      <c r="S43" s="52"/>
      <c r="T43" s="53">
        <f t="shared" si="17"/>
        <v>0</v>
      </c>
      <c r="U43" s="54">
        <f t="shared" si="18"/>
        <v>0</v>
      </c>
      <c r="V43" s="52"/>
      <c r="W43" s="52"/>
      <c r="X43" s="52"/>
      <c r="Y43" s="52"/>
      <c r="Z43" s="53">
        <f t="shared" si="19"/>
        <v>0</v>
      </c>
      <c r="AA43" s="54">
        <f t="shared" si="20"/>
        <v>0</v>
      </c>
      <c r="AB43" s="72"/>
      <c r="AC43" s="52"/>
      <c r="AD43" s="52"/>
      <c r="AE43" s="52"/>
      <c r="AF43" s="52"/>
      <c r="AG43" s="52"/>
      <c r="AH43" s="53">
        <f t="shared" si="21"/>
        <v>0</v>
      </c>
      <c r="AI43" s="54">
        <f t="shared" si="22"/>
        <v>0</v>
      </c>
      <c r="AJ43" s="52"/>
      <c r="AK43" s="53">
        <f t="shared" si="23"/>
        <v>0</v>
      </c>
      <c r="AL43" s="54">
        <f t="shared" si="24"/>
        <v>0</v>
      </c>
      <c r="AM43" s="57">
        <f t="shared" si="25"/>
        <v>0</v>
      </c>
      <c r="AN43" s="56"/>
      <c r="AO43" s="54">
        <f t="shared" si="26"/>
        <v>0</v>
      </c>
      <c r="AP43" s="52"/>
      <c r="AQ43" s="53">
        <f t="shared" si="27"/>
        <v>0</v>
      </c>
      <c r="AR43" s="54">
        <f t="shared" si="28"/>
        <v>0</v>
      </c>
      <c r="AS43" s="53">
        <f t="shared" si="29"/>
        <v>0</v>
      </c>
      <c r="AT43" s="54">
        <f t="shared" si="12"/>
        <v>0</v>
      </c>
      <c r="AU43" s="54">
        <f t="shared" si="31"/>
        <v>0</v>
      </c>
      <c r="AV43" s="55" t="str">
        <f t="shared" si="30"/>
        <v>Non Validée</v>
      </c>
      <c r="AW43" s="54">
        <f t="shared" si="13"/>
        <v>0</v>
      </c>
      <c r="AX43" s="55" t="str">
        <f t="shared" si="32"/>
        <v>Insatisfaisant</v>
      </c>
      <c r="AY43" s="50" t="str">
        <f>IF(AV43="Validée","Admis en L3 LMD",IF(OR(AX43="Insuffisant",AX43="Insatisfaisant"),"Ajourné",CONCATENATE("Admis en L3 LMD avec crédits à valider des UE :",IF(#REF!&lt;#REF!,#REF!,"")," ",IF(#REF!&lt;#REF!,#REF!,"")," ",IF(#REF!&lt;#REF!,#REF!,"")," ",IF(#REF!&lt;#REF!,#REF!,"")," ",IF(#REF!&lt;#REF!,#REF!,"")," ",IF(O43&lt;$I$7,$O$5,"")," ",IF(Z43&lt;$U$7,$Z$5,"")," ",IF(AH43&lt;$AA$7,$AH$5,"")," ",IF(AK43&lt;$AI$7,$AK$5,""))))</f>
        <v>Ajourné</v>
      </c>
    </row>
    <row r="44" spans="1:51" s="58" customFormat="1" ht="15.5" x14ac:dyDescent="0.35">
      <c r="A44" s="51" t="s">
        <v>69</v>
      </c>
      <c r="B44" s="52" t="s">
        <v>119</v>
      </c>
      <c r="C44" s="70"/>
      <c r="D44" s="70"/>
      <c r="E44" s="70"/>
      <c r="F44" s="70"/>
      <c r="G44" s="52"/>
      <c r="H44" s="52"/>
      <c r="I44" s="54">
        <f t="shared" si="14"/>
        <v>0</v>
      </c>
      <c r="J44" s="52"/>
      <c r="K44" s="52"/>
      <c r="L44" s="52"/>
      <c r="M44" s="52"/>
      <c r="N44" s="52"/>
      <c r="O44" s="53">
        <f t="shared" si="15"/>
        <v>0</v>
      </c>
      <c r="P44" s="54">
        <f t="shared" si="16"/>
        <v>0</v>
      </c>
      <c r="Q44" s="52"/>
      <c r="R44" s="52"/>
      <c r="S44" s="52"/>
      <c r="T44" s="53">
        <f t="shared" si="17"/>
        <v>0</v>
      </c>
      <c r="U44" s="54">
        <f t="shared" si="18"/>
        <v>0</v>
      </c>
      <c r="V44" s="52"/>
      <c r="W44" s="52"/>
      <c r="X44" s="52"/>
      <c r="Y44" s="52"/>
      <c r="Z44" s="53">
        <f t="shared" si="19"/>
        <v>0</v>
      </c>
      <c r="AA44" s="54">
        <f t="shared" si="20"/>
        <v>0</v>
      </c>
      <c r="AB44" s="72"/>
      <c r="AC44" s="52"/>
      <c r="AD44" s="52"/>
      <c r="AE44" s="52"/>
      <c r="AF44" s="52"/>
      <c r="AG44" s="52"/>
      <c r="AH44" s="53">
        <f t="shared" si="21"/>
        <v>0</v>
      </c>
      <c r="AI44" s="54">
        <f t="shared" si="22"/>
        <v>0</v>
      </c>
      <c r="AJ44" s="52"/>
      <c r="AK44" s="53">
        <f t="shared" si="23"/>
        <v>0</v>
      </c>
      <c r="AL44" s="54">
        <f t="shared" si="24"/>
        <v>0</v>
      </c>
      <c r="AM44" s="57">
        <f t="shared" si="25"/>
        <v>0</v>
      </c>
      <c r="AN44" s="56"/>
      <c r="AO44" s="54">
        <f t="shared" si="26"/>
        <v>0</v>
      </c>
      <c r="AP44" s="52"/>
      <c r="AQ44" s="53">
        <f t="shared" si="27"/>
        <v>0</v>
      </c>
      <c r="AR44" s="54">
        <f t="shared" si="28"/>
        <v>0</v>
      </c>
      <c r="AS44" s="53">
        <f t="shared" si="29"/>
        <v>0</v>
      </c>
      <c r="AT44" s="54">
        <f t="shared" si="12"/>
        <v>0</v>
      </c>
      <c r="AU44" s="54">
        <f t="shared" si="31"/>
        <v>0</v>
      </c>
      <c r="AV44" s="55" t="str">
        <f t="shared" si="30"/>
        <v>Non Validée</v>
      </c>
      <c r="AW44" s="54">
        <f t="shared" si="13"/>
        <v>0</v>
      </c>
      <c r="AX44" s="55" t="str">
        <f t="shared" si="32"/>
        <v>Insatisfaisant</v>
      </c>
      <c r="AY44" s="50" t="str">
        <f>IF(AV44="Validée","Admis en L3 LMD",IF(OR(AX44="Insuffisant",AX44="Insatisfaisant"),"Ajourné",CONCATENATE("Admis en L3 LMD avec crédits à valider des UE :",IF(#REF!&lt;#REF!,#REF!,"")," ",IF(#REF!&lt;#REF!,#REF!,"")," ",IF(#REF!&lt;#REF!,#REF!,"")," ",IF(#REF!&lt;#REF!,#REF!,"")," ",IF(#REF!&lt;#REF!,#REF!,"")," ",IF(O44&lt;$I$7,$O$5,"")," ",IF(Z44&lt;$U$7,$Z$5,"")," ",IF(AH44&lt;$AA$7,$AH$5,"")," ",IF(AK44&lt;$AI$7,$AK$5,""))))</f>
        <v>Ajourné</v>
      </c>
    </row>
    <row r="45" spans="1:51" s="58" customFormat="1" ht="15.5" x14ac:dyDescent="0.35">
      <c r="A45" s="51" t="s">
        <v>70</v>
      </c>
      <c r="B45" s="52" t="s">
        <v>120</v>
      </c>
      <c r="C45" s="70"/>
      <c r="D45" s="70"/>
      <c r="E45" s="70"/>
      <c r="F45" s="70"/>
      <c r="G45" s="52"/>
      <c r="H45" s="52"/>
      <c r="I45" s="54">
        <f t="shared" si="14"/>
        <v>0</v>
      </c>
      <c r="J45" s="52"/>
      <c r="K45" s="52"/>
      <c r="L45" s="52"/>
      <c r="M45" s="52"/>
      <c r="N45" s="52"/>
      <c r="O45" s="53">
        <f t="shared" si="15"/>
        <v>0</v>
      </c>
      <c r="P45" s="54">
        <f t="shared" si="16"/>
        <v>0</v>
      </c>
      <c r="Q45" s="52"/>
      <c r="R45" s="52"/>
      <c r="S45" s="52"/>
      <c r="T45" s="53">
        <f t="shared" si="17"/>
        <v>0</v>
      </c>
      <c r="U45" s="54">
        <f t="shared" si="18"/>
        <v>0</v>
      </c>
      <c r="V45" s="52"/>
      <c r="W45" s="52"/>
      <c r="X45" s="52"/>
      <c r="Y45" s="52"/>
      <c r="Z45" s="53">
        <f t="shared" si="19"/>
        <v>0</v>
      </c>
      <c r="AA45" s="54">
        <f t="shared" si="20"/>
        <v>0</v>
      </c>
      <c r="AB45" s="72"/>
      <c r="AC45" s="52"/>
      <c r="AD45" s="52"/>
      <c r="AE45" s="52"/>
      <c r="AF45" s="52"/>
      <c r="AG45" s="52"/>
      <c r="AH45" s="53">
        <f t="shared" si="21"/>
        <v>0</v>
      </c>
      <c r="AI45" s="54">
        <f t="shared" si="22"/>
        <v>0</v>
      </c>
      <c r="AJ45" s="52"/>
      <c r="AK45" s="53">
        <f t="shared" si="23"/>
        <v>0</v>
      </c>
      <c r="AL45" s="54">
        <f t="shared" si="24"/>
        <v>0</v>
      </c>
      <c r="AM45" s="57">
        <f t="shared" si="25"/>
        <v>0</v>
      </c>
      <c r="AN45" s="56"/>
      <c r="AO45" s="54">
        <f t="shared" si="26"/>
        <v>0</v>
      </c>
      <c r="AP45" s="52"/>
      <c r="AQ45" s="53">
        <f t="shared" si="27"/>
        <v>0</v>
      </c>
      <c r="AR45" s="54">
        <f t="shared" si="28"/>
        <v>0</v>
      </c>
      <c r="AS45" s="53">
        <f t="shared" si="29"/>
        <v>0</v>
      </c>
      <c r="AT45" s="54">
        <f t="shared" si="12"/>
        <v>0</v>
      </c>
      <c r="AU45" s="54">
        <f t="shared" si="31"/>
        <v>0</v>
      </c>
      <c r="AV45" s="55" t="str">
        <f t="shared" si="30"/>
        <v>Non Validée</v>
      </c>
      <c r="AW45" s="54">
        <f t="shared" si="13"/>
        <v>0</v>
      </c>
      <c r="AX45" s="55" t="str">
        <f t="shared" si="32"/>
        <v>Insatisfaisant</v>
      </c>
      <c r="AY45" s="50" t="str">
        <f>IF(AV45="Validée","Admis en L3 LMD",IF(OR(AX45="Insuffisant",AX45="Insatisfaisant"),"Ajourné",CONCATENATE("Admis en L3 LMD avec crédits à valider des UE :",IF(#REF!&lt;#REF!,#REF!,"")," ",IF(#REF!&lt;#REF!,#REF!,"")," ",IF(#REF!&lt;#REF!,#REF!,"")," ",IF(#REF!&lt;#REF!,#REF!,"")," ",IF(#REF!&lt;#REF!,#REF!,"")," ",IF(O45&lt;$I$7,$O$5,"")," ",IF(Z45&lt;$U$7,$Z$5,"")," ",IF(AH45&lt;$AA$7,$AH$5,"")," ",IF(AK45&lt;$AI$7,$AK$5,""))))</f>
        <v>Ajourné</v>
      </c>
    </row>
    <row r="46" spans="1:51" s="58" customFormat="1" ht="15.5" x14ac:dyDescent="0.35">
      <c r="A46" s="51" t="s">
        <v>71</v>
      </c>
      <c r="B46" s="52" t="s">
        <v>121</v>
      </c>
      <c r="C46" s="70"/>
      <c r="D46" s="70"/>
      <c r="E46" s="70"/>
      <c r="F46" s="70"/>
      <c r="G46" s="52"/>
      <c r="H46" s="52"/>
      <c r="I46" s="54">
        <f t="shared" si="14"/>
        <v>0</v>
      </c>
      <c r="J46" s="52"/>
      <c r="K46" s="52"/>
      <c r="L46" s="52"/>
      <c r="M46" s="52"/>
      <c r="N46" s="52"/>
      <c r="O46" s="53">
        <f t="shared" si="15"/>
        <v>0</v>
      </c>
      <c r="P46" s="54">
        <f t="shared" si="16"/>
        <v>0</v>
      </c>
      <c r="Q46" s="52"/>
      <c r="R46" s="52"/>
      <c r="S46" s="52"/>
      <c r="T46" s="53">
        <f t="shared" si="17"/>
        <v>0</v>
      </c>
      <c r="U46" s="54">
        <f t="shared" si="18"/>
        <v>0</v>
      </c>
      <c r="V46" s="52"/>
      <c r="W46" s="52"/>
      <c r="X46" s="52"/>
      <c r="Y46" s="52"/>
      <c r="Z46" s="53">
        <f t="shared" si="19"/>
        <v>0</v>
      </c>
      <c r="AA46" s="54">
        <f t="shared" si="20"/>
        <v>0</v>
      </c>
      <c r="AB46" s="72"/>
      <c r="AC46" s="52"/>
      <c r="AD46" s="52"/>
      <c r="AE46" s="52"/>
      <c r="AF46" s="52"/>
      <c r="AG46" s="52"/>
      <c r="AH46" s="53">
        <f t="shared" si="21"/>
        <v>0</v>
      </c>
      <c r="AI46" s="54">
        <f t="shared" si="22"/>
        <v>0</v>
      </c>
      <c r="AJ46" s="52"/>
      <c r="AK46" s="53">
        <f t="shared" si="23"/>
        <v>0</v>
      </c>
      <c r="AL46" s="54">
        <f t="shared" si="24"/>
        <v>0</v>
      </c>
      <c r="AM46" s="57">
        <f t="shared" si="25"/>
        <v>0</v>
      </c>
      <c r="AN46" s="56"/>
      <c r="AO46" s="54">
        <f t="shared" si="26"/>
        <v>0</v>
      </c>
      <c r="AP46" s="52"/>
      <c r="AQ46" s="53">
        <f t="shared" si="27"/>
        <v>0</v>
      </c>
      <c r="AR46" s="54">
        <f t="shared" si="28"/>
        <v>0</v>
      </c>
      <c r="AS46" s="53">
        <f t="shared" si="29"/>
        <v>0</v>
      </c>
      <c r="AT46" s="54">
        <f t="shared" si="12"/>
        <v>0</v>
      </c>
      <c r="AU46" s="54">
        <f t="shared" si="31"/>
        <v>0</v>
      </c>
      <c r="AV46" s="55" t="str">
        <f t="shared" si="30"/>
        <v>Non Validée</v>
      </c>
      <c r="AW46" s="54">
        <f t="shared" si="13"/>
        <v>0</v>
      </c>
      <c r="AX46" s="55" t="str">
        <f t="shared" si="32"/>
        <v>Insatisfaisant</v>
      </c>
      <c r="AY46" s="50" t="str">
        <f>IF(AV46="Validée","Admis en L3 LMD",IF(OR(AX46="Insuffisant",AX46="Insatisfaisant"),"Ajourné",CONCATENATE("Admis en L3 LMD avec crédits à valider des UE :",IF(#REF!&lt;#REF!,#REF!,"")," ",IF(#REF!&lt;#REF!,#REF!,"")," ",IF(#REF!&lt;#REF!,#REF!,"")," ",IF(#REF!&lt;#REF!,#REF!,"")," ",IF(#REF!&lt;#REF!,#REF!,"")," ",IF(O46&lt;$I$7,$O$5,"")," ",IF(Z46&lt;$U$7,$Z$5,"")," ",IF(AH46&lt;$AA$7,$AH$5,"")," ",IF(AK46&lt;$AI$7,$AK$5,""))))</f>
        <v>Ajourné</v>
      </c>
    </row>
    <row r="47" spans="1:51" s="58" customFormat="1" ht="15.5" x14ac:dyDescent="0.35">
      <c r="A47" s="51" t="s">
        <v>72</v>
      </c>
      <c r="B47" s="52" t="s">
        <v>122</v>
      </c>
      <c r="C47" s="70"/>
      <c r="D47" s="70"/>
      <c r="E47" s="70"/>
      <c r="F47" s="70"/>
      <c r="G47" s="52"/>
      <c r="H47" s="52"/>
      <c r="I47" s="54">
        <f t="shared" si="14"/>
        <v>0</v>
      </c>
      <c r="J47" s="52"/>
      <c r="K47" s="52"/>
      <c r="L47" s="52"/>
      <c r="M47" s="52"/>
      <c r="N47" s="52"/>
      <c r="O47" s="53">
        <f t="shared" si="15"/>
        <v>0</v>
      </c>
      <c r="P47" s="54">
        <f t="shared" si="16"/>
        <v>0</v>
      </c>
      <c r="Q47" s="52"/>
      <c r="R47" s="52"/>
      <c r="S47" s="52"/>
      <c r="T47" s="53">
        <f t="shared" si="17"/>
        <v>0</v>
      </c>
      <c r="U47" s="54">
        <f t="shared" si="18"/>
        <v>0</v>
      </c>
      <c r="V47" s="52"/>
      <c r="W47" s="52"/>
      <c r="X47" s="52"/>
      <c r="Y47" s="52"/>
      <c r="Z47" s="53">
        <f t="shared" si="19"/>
        <v>0</v>
      </c>
      <c r="AA47" s="54">
        <f t="shared" si="20"/>
        <v>0</v>
      </c>
      <c r="AB47" s="72"/>
      <c r="AC47" s="52"/>
      <c r="AD47" s="52"/>
      <c r="AE47" s="52"/>
      <c r="AF47" s="52"/>
      <c r="AG47" s="52"/>
      <c r="AH47" s="53">
        <f t="shared" si="21"/>
        <v>0</v>
      </c>
      <c r="AI47" s="54">
        <f t="shared" si="22"/>
        <v>0</v>
      </c>
      <c r="AJ47" s="52"/>
      <c r="AK47" s="53">
        <f t="shared" si="23"/>
        <v>0</v>
      </c>
      <c r="AL47" s="54">
        <f t="shared" si="24"/>
        <v>0</v>
      </c>
      <c r="AM47" s="57">
        <f t="shared" si="25"/>
        <v>0</v>
      </c>
      <c r="AN47" s="56"/>
      <c r="AO47" s="54">
        <f t="shared" si="26"/>
        <v>0</v>
      </c>
      <c r="AP47" s="52"/>
      <c r="AQ47" s="53">
        <f t="shared" si="27"/>
        <v>0</v>
      </c>
      <c r="AR47" s="54">
        <f t="shared" si="28"/>
        <v>0</v>
      </c>
      <c r="AS47" s="53">
        <f t="shared" si="29"/>
        <v>0</v>
      </c>
      <c r="AT47" s="54">
        <f t="shared" si="12"/>
        <v>0</v>
      </c>
      <c r="AU47" s="54">
        <f t="shared" si="31"/>
        <v>0</v>
      </c>
      <c r="AV47" s="55" t="str">
        <f t="shared" si="30"/>
        <v>Non Validée</v>
      </c>
      <c r="AW47" s="54">
        <f t="shared" si="13"/>
        <v>0</v>
      </c>
      <c r="AX47" s="55" t="str">
        <f t="shared" si="32"/>
        <v>Insatisfaisant</v>
      </c>
      <c r="AY47" s="50" t="str">
        <f>IF(AV47="Validée","Admis en L3 LMD",IF(OR(AX47="Insuffisant",AX47="Insatisfaisant"),"Ajourné",CONCATENATE("Admis en L3 LMD avec crédits à valider des UE :",IF(#REF!&lt;#REF!,#REF!,"")," ",IF(#REF!&lt;#REF!,#REF!,"")," ",IF(#REF!&lt;#REF!,#REF!,"")," ",IF(#REF!&lt;#REF!,#REF!,"")," ",IF(#REF!&lt;#REF!,#REF!,"")," ",IF(O47&lt;$I$7,$O$5,"")," ",IF(Z47&lt;$U$7,$Z$5,"")," ",IF(AH47&lt;$AA$7,$AH$5,"")," ",IF(AK47&lt;$AI$7,$AK$5,""))))</f>
        <v>Ajourné</v>
      </c>
    </row>
    <row r="48" spans="1:51" s="58" customFormat="1" ht="15.5" x14ac:dyDescent="0.35">
      <c r="A48" s="51" t="s">
        <v>73</v>
      </c>
      <c r="B48" s="52" t="s">
        <v>123</v>
      </c>
      <c r="C48" s="70"/>
      <c r="D48" s="70"/>
      <c r="E48" s="70"/>
      <c r="F48" s="70"/>
      <c r="G48" s="52"/>
      <c r="H48" s="52"/>
      <c r="I48" s="54">
        <f t="shared" si="14"/>
        <v>0</v>
      </c>
      <c r="J48" s="52"/>
      <c r="K48" s="52"/>
      <c r="L48" s="52"/>
      <c r="M48" s="52"/>
      <c r="N48" s="52"/>
      <c r="O48" s="53">
        <f t="shared" si="15"/>
        <v>0</v>
      </c>
      <c r="P48" s="54">
        <f t="shared" si="16"/>
        <v>0</v>
      </c>
      <c r="Q48" s="52"/>
      <c r="R48" s="52"/>
      <c r="S48" s="52"/>
      <c r="T48" s="53">
        <f t="shared" si="17"/>
        <v>0</v>
      </c>
      <c r="U48" s="54">
        <f t="shared" si="18"/>
        <v>0</v>
      </c>
      <c r="V48" s="52"/>
      <c r="W48" s="52"/>
      <c r="X48" s="52"/>
      <c r="Y48" s="52"/>
      <c r="Z48" s="53">
        <f t="shared" si="19"/>
        <v>0</v>
      </c>
      <c r="AA48" s="54">
        <f t="shared" si="20"/>
        <v>0</v>
      </c>
      <c r="AB48" s="72"/>
      <c r="AC48" s="52"/>
      <c r="AD48" s="52"/>
      <c r="AE48" s="52"/>
      <c r="AF48" s="52"/>
      <c r="AG48" s="52"/>
      <c r="AH48" s="53">
        <f t="shared" si="21"/>
        <v>0</v>
      </c>
      <c r="AI48" s="54">
        <f t="shared" si="22"/>
        <v>0</v>
      </c>
      <c r="AJ48" s="52"/>
      <c r="AK48" s="53">
        <f t="shared" si="23"/>
        <v>0</v>
      </c>
      <c r="AL48" s="54">
        <f t="shared" si="24"/>
        <v>0</v>
      </c>
      <c r="AM48" s="57">
        <f t="shared" si="25"/>
        <v>0</v>
      </c>
      <c r="AN48" s="56"/>
      <c r="AO48" s="54">
        <f t="shared" si="26"/>
        <v>0</v>
      </c>
      <c r="AP48" s="52"/>
      <c r="AQ48" s="53">
        <f t="shared" si="27"/>
        <v>0</v>
      </c>
      <c r="AR48" s="54">
        <f t="shared" si="28"/>
        <v>0</v>
      </c>
      <c r="AS48" s="53">
        <f t="shared" si="29"/>
        <v>0</v>
      </c>
      <c r="AT48" s="54">
        <f t="shared" si="12"/>
        <v>0</v>
      </c>
      <c r="AU48" s="54">
        <f t="shared" si="31"/>
        <v>0</v>
      </c>
      <c r="AV48" s="55" t="str">
        <f t="shared" si="30"/>
        <v>Non Validée</v>
      </c>
      <c r="AW48" s="54">
        <f t="shared" si="13"/>
        <v>0</v>
      </c>
      <c r="AX48" s="55" t="str">
        <f t="shared" si="32"/>
        <v>Insatisfaisant</v>
      </c>
      <c r="AY48" s="50" t="str">
        <f>IF(AV48="Validée","Admis en L3 LMD",IF(OR(AX48="Insuffisant",AX48="Insatisfaisant"),"Ajourné",CONCATENATE("Admis en L3 LMD avec crédits à valider des UE :",IF(#REF!&lt;#REF!,#REF!,"")," ",IF(#REF!&lt;#REF!,#REF!,"")," ",IF(#REF!&lt;#REF!,#REF!,"")," ",IF(#REF!&lt;#REF!,#REF!,"")," ",IF(#REF!&lt;#REF!,#REF!,"")," ",IF(O48&lt;$I$7,$O$5,"")," ",IF(Z48&lt;$U$7,$Z$5,"")," ",IF(AH48&lt;$AA$7,$AH$5,"")," ",IF(AK48&lt;$AI$7,$AK$5,""))))</f>
        <v>Ajourné</v>
      </c>
    </row>
    <row r="49" spans="1:51" s="58" customFormat="1" ht="15.5" x14ac:dyDescent="0.35">
      <c r="A49" s="51" t="s">
        <v>74</v>
      </c>
      <c r="B49" s="52" t="s">
        <v>124</v>
      </c>
      <c r="C49" s="70"/>
      <c r="D49" s="70"/>
      <c r="E49" s="70"/>
      <c r="F49" s="70"/>
      <c r="G49" s="52"/>
      <c r="H49" s="52"/>
      <c r="I49" s="54">
        <f t="shared" si="14"/>
        <v>0</v>
      </c>
      <c r="J49" s="52"/>
      <c r="K49" s="52"/>
      <c r="L49" s="52"/>
      <c r="M49" s="52"/>
      <c r="N49" s="52"/>
      <c r="O49" s="53">
        <f t="shared" si="15"/>
        <v>0</v>
      </c>
      <c r="P49" s="54">
        <f t="shared" si="16"/>
        <v>0</v>
      </c>
      <c r="Q49" s="52"/>
      <c r="R49" s="52"/>
      <c r="S49" s="52"/>
      <c r="T49" s="53">
        <f t="shared" si="17"/>
        <v>0</v>
      </c>
      <c r="U49" s="54">
        <f t="shared" si="18"/>
        <v>0</v>
      </c>
      <c r="V49" s="52"/>
      <c r="W49" s="52"/>
      <c r="X49" s="52"/>
      <c r="Y49" s="52"/>
      <c r="Z49" s="53">
        <f t="shared" si="19"/>
        <v>0</v>
      </c>
      <c r="AA49" s="54">
        <f t="shared" si="20"/>
        <v>0</v>
      </c>
      <c r="AB49" s="72"/>
      <c r="AC49" s="52"/>
      <c r="AD49" s="52"/>
      <c r="AE49" s="52"/>
      <c r="AF49" s="52"/>
      <c r="AG49" s="52"/>
      <c r="AH49" s="53">
        <f t="shared" si="21"/>
        <v>0</v>
      </c>
      <c r="AI49" s="54">
        <f t="shared" si="22"/>
        <v>0</v>
      </c>
      <c r="AJ49" s="52"/>
      <c r="AK49" s="53">
        <f t="shared" si="23"/>
        <v>0</v>
      </c>
      <c r="AL49" s="54">
        <f t="shared" si="24"/>
        <v>0</v>
      </c>
      <c r="AM49" s="57">
        <f t="shared" si="25"/>
        <v>0</v>
      </c>
      <c r="AN49" s="56"/>
      <c r="AO49" s="54">
        <f t="shared" si="26"/>
        <v>0</v>
      </c>
      <c r="AP49" s="52"/>
      <c r="AQ49" s="53">
        <f t="shared" si="27"/>
        <v>0</v>
      </c>
      <c r="AR49" s="54">
        <f t="shared" si="28"/>
        <v>0</v>
      </c>
      <c r="AS49" s="53">
        <f t="shared" si="29"/>
        <v>0</v>
      </c>
      <c r="AT49" s="54">
        <f t="shared" si="12"/>
        <v>0</v>
      </c>
      <c r="AU49" s="54">
        <f t="shared" si="31"/>
        <v>0</v>
      </c>
      <c r="AV49" s="55" t="str">
        <f t="shared" si="30"/>
        <v>Non Validée</v>
      </c>
      <c r="AW49" s="54">
        <f t="shared" si="13"/>
        <v>0</v>
      </c>
      <c r="AX49" s="55" t="str">
        <f t="shared" si="32"/>
        <v>Insatisfaisant</v>
      </c>
      <c r="AY49" s="50" t="str">
        <f>IF(AV49="Validée","Admis en L3 LMD",IF(OR(AX49="Insuffisant",AX49="Insatisfaisant"),"Ajourné",CONCATENATE("Admis en L3 LMD avec crédits à valider des UE :",IF(#REF!&lt;#REF!,#REF!,"")," ",IF(#REF!&lt;#REF!,#REF!,"")," ",IF(#REF!&lt;#REF!,#REF!,"")," ",IF(#REF!&lt;#REF!,#REF!,"")," ",IF(#REF!&lt;#REF!,#REF!,"")," ",IF(O49&lt;$I$7,$O$5,"")," ",IF(Z49&lt;$U$7,$Z$5,"")," ",IF(AH49&lt;$AA$7,$AH$5,"")," ",IF(AK49&lt;$AI$7,$AK$5,""))))</f>
        <v>Ajourné</v>
      </c>
    </row>
  </sheetData>
  <sheetProtection algorithmName="SHA-512" hashValue="nKhw4NzZ/SCJPHlH984+JhYCpqkKzjZbQb2fwY3KNswwxI5F418fWFvLnmcGthaNHqkaoo2LW7dmhGSqIwCxeQ==" saltValue="LzBEqVl+8WX3uzbgYitLbA==" spinCount="100000" sheet="1" formatColumns="0" formatRows="0" insertColumns="0" insertRows="0" insertHyperlinks="0" deleteColumns="0" deleteRows="0" sort="0"/>
  <sortState xmlns:xlrd2="http://schemas.microsoft.com/office/spreadsheetml/2017/richdata2" ref="D10:D22">
    <sortCondition ref="D10"/>
  </sortState>
  <mergeCells count="4">
    <mergeCell ref="A1:AY1"/>
    <mergeCell ref="A2:AY2"/>
    <mergeCell ref="A3:AY3"/>
    <mergeCell ref="A4:AY4"/>
  </mergeCells>
  <phoneticPr fontId="7" type="noConversion"/>
  <conditionalFormatting sqref="I9:I49 U9:U49 AA9:AA49 AI9:AI49">
    <cfRule type="cellIs" dxfId="17" priority="1577" operator="lessThan">
      <formula>10</formula>
    </cfRule>
  </conditionalFormatting>
  <conditionalFormatting sqref="J9:N49">
    <cfRule type="cellIs" dxfId="16" priority="18757" operator="greaterThanOrEqual">
      <formula>10</formula>
    </cfRule>
    <cfRule type="expression" dxfId="15" priority="18758">
      <formula>$I9&lt;10</formula>
    </cfRule>
  </conditionalFormatting>
  <conditionalFormatting sqref="P9:P49">
    <cfRule type="cellIs" dxfId="14" priority="10" operator="lessThan">
      <formula>10</formula>
    </cfRule>
  </conditionalFormatting>
  <conditionalFormatting sqref="Q9:S49">
    <cfRule type="cellIs" dxfId="13" priority="11" operator="greaterThanOrEqual">
      <formula>10</formula>
    </cfRule>
    <cfRule type="expression" dxfId="12" priority="12">
      <formula>$I9&lt;10</formula>
    </cfRule>
  </conditionalFormatting>
  <conditionalFormatting sqref="V9:Z49">
    <cfRule type="cellIs" dxfId="11" priority="18759" operator="greaterThanOrEqual">
      <formula>10</formula>
    </cfRule>
    <cfRule type="expression" dxfId="10" priority="18760">
      <formula>$U9&lt;10</formula>
    </cfRule>
  </conditionalFormatting>
  <conditionalFormatting sqref="AB9:AH49">
    <cfRule type="cellIs" dxfId="9" priority="18761" operator="greaterThanOrEqual">
      <formula>10</formula>
    </cfRule>
    <cfRule type="expression" dxfId="8" priority="18762">
      <formula>$AA9&lt;10</formula>
    </cfRule>
  </conditionalFormatting>
  <conditionalFormatting sqref="AJ9:AK49">
    <cfRule type="cellIs" dxfId="7" priority="18763" operator="greaterThanOrEqual">
      <formula>10</formula>
    </cfRule>
    <cfRule type="expression" dxfId="6" priority="18764">
      <formula>$AI9&lt;10</formula>
    </cfRule>
  </conditionalFormatting>
  <conditionalFormatting sqref="AO9:AO49">
    <cfRule type="cellIs" dxfId="5" priority="3" operator="lessThan">
      <formula>10</formula>
    </cfRule>
  </conditionalFormatting>
  <conditionalFormatting sqref="AP9:AP49">
    <cfRule type="expression" dxfId="4" priority="1">
      <formula>#REF!&lt;10</formula>
    </cfRule>
    <cfRule type="cellIs" dxfId="3" priority="2" operator="greaterThanOrEqual">
      <formula>10</formula>
    </cfRule>
  </conditionalFormatting>
  <dataValidations count="2">
    <dataValidation type="whole" operator="lessThanOrEqual" allowBlank="1" showInputMessage="1" showErrorMessage="1" sqref="V9:Z49 P9:S49 I9:N49 AB9:AH49 AJ9:AK49 AP9:AQ49" xr:uid="{00000000-0002-0000-0000-000000000000}">
      <formula1>20</formula1>
    </dataValidation>
    <dataValidation operator="lessThanOrEqual" allowBlank="1" showInputMessage="1" showErrorMessage="1" sqref="O9:O49 T9:T49" xr:uid="{00000000-0002-0000-0000-000001000000}"/>
  </dataValidations>
  <pageMargins left="3.937007874015748E-2" right="3.937007874015748E-2" top="0.74803149606299213" bottom="0.74803149606299213" header="0.31496062992125984" footer="0.31496062992125984"/>
  <pageSetup paperSize="9" scale="3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F97"/>
  <sheetViews>
    <sheetView view="pageBreakPreview" zoomScale="115" zoomScaleNormal="100" zoomScaleSheetLayoutView="115" workbookViewId="0">
      <selection activeCell="A40" sqref="A40:F40"/>
    </sheetView>
  </sheetViews>
  <sheetFormatPr baseColWidth="10" defaultRowHeight="14.5" x14ac:dyDescent="0.35"/>
  <cols>
    <col min="2" max="2" width="68.54296875" bestFit="1" customWidth="1"/>
    <col min="3" max="3" width="13.36328125" customWidth="1"/>
    <col min="4" max="4" width="13.6328125" customWidth="1"/>
    <col min="5" max="5" width="14.08984375" customWidth="1"/>
    <col min="6" max="6" width="16.36328125" bestFit="1" customWidth="1"/>
  </cols>
  <sheetData>
    <row r="1" spans="1:6" s="24" customFormat="1" x14ac:dyDescent="0.35">
      <c r="A1" s="99" t="s">
        <v>0</v>
      </c>
      <c r="B1" s="99"/>
      <c r="C1" s="99"/>
      <c r="D1" s="99"/>
      <c r="E1" s="99"/>
      <c r="F1" s="99"/>
    </row>
    <row r="2" spans="1:6" s="24" customFormat="1" x14ac:dyDescent="0.35">
      <c r="A2" s="99" t="str">
        <f>'Grille de délibération'!A2:AX2</f>
        <v>SECTION SCIENCE TECHNIQU DOCUMENTAIRE</v>
      </c>
      <c r="B2" s="99"/>
      <c r="C2" s="99"/>
      <c r="D2" s="99"/>
      <c r="E2" s="99"/>
      <c r="F2" s="99"/>
    </row>
    <row r="3" spans="1:6" s="24" customFormat="1" x14ac:dyDescent="0.35">
      <c r="A3" s="99" t="str">
        <f>'Grille de délibération'!A3:AX3</f>
        <v>PROMOTION: TROISIEME LICENCE LMD STD</v>
      </c>
      <c r="B3" s="99"/>
      <c r="C3" s="99"/>
      <c r="D3" s="99"/>
      <c r="E3" s="99"/>
      <c r="F3" s="99"/>
    </row>
    <row r="4" spans="1:6" s="24" customFormat="1" x14ac:dyDescent="0.35">
      <c r="A4" s="99" t="s">
        <v>157</v>
      </c>
      <c r="B4" s="99"/>
      <c r="C4" s="99"/>
      <c r="D4" s="99"/>
      <c r="E4" s="99"/>
      <c r="F4" s="99"/>
    </row>
    <row r="5" spans="1:6" s="24" customFormat="1" ht="15.5" x14ac:dyDescent="0.35">
      <c r="A5" s="9"/>
      <c r="B5" s="63" t="s">
        <v>27</v>
      </c>
      <c r="C5" s="49" t="s">
        <v>81</v>
      </c>
      <c r="D5" s="9"/>
      <c r="E5" s="9"/>
      <c r="F5" s="9"/>
    </row>
    <row r="6" spans="1:6" s="24" customFormat="1" x14ac:dyDescent="0.35">
      <c r="B6" s="35" t="s">
        <v>28</v>
      </c>
      <c r="C6" s="24">
        <f>VLOOKUP(C5,'Grille de délibération'!$B$9:$AY$535,2,0)</f>
        <v>0</v>
      </c>
    </row>
    <row r="7" spans="1:6" s="24" customFormat="1" x14ac:dyDescent="0.35">
      <c r="B7" s="35" t="s">
        <v>29</v>
      </c>
      <c r="C7" s="24" t="str">
        <f>VLOOKUP(C5,'Grille de délibération'!$B$9:$AY$535,3,0)</f>
        <v>AYINO</v>
      </c>
    </row>
    <row r="8" spans="1:6" s="24" customFormat="1" x14ac:dyDescent="0.35">
      <c r="B8" s="35" t="s">
        <v>30</v>
      </c>
      <c r="C8" s="24" t="str">
        <f>VLOOKUP(C5,'Grille de délibération'!$B$9:$AY$535,4,0)</f>
        <v>NGALASI</v>
      </c>
    </row>
    <row r="9" spans="1:6" s="24" customFormat="1" x14ac:dyDescent="0.35">
      <c r="B9" s="35" t="s">
        <v>31</v>
      </c>
      <c r="C9" s="24">
        <f>VLOOKUP(C5,'Grille de délibération'!$B$9:$AY$535,5,0)</f>
        <v>0</v>
      </c>
    </row>
    <row r="10" spans="1:6" s="24" customFormat="1" x14ac:dyDescent="0.35">
      <c r="A10" s="4" t="s">
        <v>11</v>
      </c>
      <c r="B10" s="4" t="s">
        <v>7</v>
      </c>
      <c r="C10" s="4" t="s">
        <v>9</v>
      </c>
      <c r="D10" s="4" t="s">
        <v>5</v>
      </c>
      <c r="E10" s="4" t="s">
        <v>8</v>
      </c>
      <c r="F10" s="4" t="s">
        <v>6</v>
      </c>
    </row>
    <row r="11" spans="1:6" s="24" customFormat="1" ht="15.5" x14ac:dyDescent="0.35">
      <c r="A11" s="15" t="str">
        <f>LEFT('Grille de délibération'!I5,7)</f>
        <v>AFP1351</v>
      </c>
      <c r="B11" s="15" t="str">
        <f>MID('Grille de délibération'!I5,10,50)</f>
        <v xml:space="preserve">Atelier de Fabrication et de publication </v>
      </c>
      <c r="C11" s="6">
        <f>VLOOKUP(C5,'Grille de délibération'!$B$9:$AY$535,7,0)</f>
        <v>0</v>
      </c>
      <c r="D11" s="5">
        <f>'Grille de délibération'!I7</f>
        <v>5</v>
      </c>
      <c r="E11" s="94">
        <f>VLOOKUP(C5,'Grille de délibération'!$B$9:$AY$535,13,0)</f>
        <v>12</v>
      </c>
      <c r="F11" s="102" t="str">
        <f>IF(C11&gt;=10,"Validée","Non Validée")</f>
        <v>Non Validée</v>
      </c>
    </row>
    <row r="12" spans="1:6" s="24" customFormat="1" x14ac:dyDescent="0.35">
      <c r="A12" s="4"/>
      <c r="B12" s="16" t="str">
        <f>'Grille de délibération'!J5</f>
        <v>Technique de collecte d’information et manuscrit</v>
      </c>
      <c r="C12" s="4">
        <f>VLOOKUP(C5,'Grille de délibération'!$B$9:$AY$535,8,0)</f>
        <v>12</v>
      </c>
      <c r="D12" s="4">
        <f>'Grille de délibération'!J7</f>
        <v>1</v>
      </c>
      <c r="E12" s="95"/>
      <c r="F12" s="103"/>
    </row>
    <row r="13" spans="1:6" s="24" customFormat="1" x14ac:dyDescent="0.35">
      <c r="A13" s="4"/>
      <c r="B13" s="4" t="str">
        <f>'Grille de délibération'!K5</f>
        <v>Technique de sélection et traitement de l’information (manuscrit, audio...)</v>
      </c>
      <c r="C13" s="4">
        <f>VLOOKUP(C5,'Grille de délibération'!$B$9:$AY$535,8,0)</f>
        <v>12</v>
      </c>
      <c r="D13" s="4">
        <f>'Grille de délibération'!K7</f>
        <v>1</v>
      </c>
      <c r="E13" s="95"/>
      <c r="F13" s="103"/>
    </row>
    <row r="14" spans="1:6" s="24" customFormat="1" x14ac:dyDescent="0.35">
      <c r="A14" s="4"/>
      <c r="B14" s="4" t="str">
        <f>'Grille de délibération'!L5</f>
        <v>Technique de correction et de lecture</v>
      </c>
      <c r="C14" s="4">
        <f>VLOOKUP(C5,'Grille de délibération'!$B$9:$AY$535,10,0)</f>
        <v>14</v>
      </c>
      <c r="D14" s="4">
        <f>'Grille de délibération'!L7</f>
        <v>1</v>
      </c>
      <c r="E14" s="95"/>
      <c r="F14" s="103"/>
    </row>
    <row r="15" spans="1:6" s="24" customFormat="1" x14ac:dyDescent="0.35">
      <c r="A15" s="4"/>
      <c r="B15" s="4" t="str">
        <f>'Grille de délibération'!M5</f>
        <v>Technique de production et reproduction des documents : Imprimerie…</v>
      </c>
      <c r="C15" s="4">
        <f>VLOOKUP(C5,'Grille de délibération'!$B$9:$AY$535,11,0)</f>
        <v>11</v>
      </c>
      <c r="D15" s="4">
        <f>'Grille de délibération'!M7</f>
        <v>1</v>
      </c>
      <c r="E15" s="95"/>
      <c r="F15" s="103"/>
    </row>
    <row r="16" spans="1:6" s="24" customFormat="1" x14ac:dyDescent="0.35">
      <c r="A16" s="4"/>
      <c r="B16" s="4" t="str">
        <f>'Grille de délibération'!N5</f>
        <v>Technique commercialisation des produits</v>
      </c>
      <c r="C16" s="4">
        <f>VLOOKUP(C5,'Grille de délibération'!$B$9:$AY$535,12,0)</f>
        <v>10</v>
      </c>
      <c r="D16" s="4">
        <f>'Grille de délibération'!N7</f>
        <v>1</v>
      </c>
      <c r="E16" s="96"/>
      <c r="F16" s="104"/>
    </row>
    <row r="17" spans="1:6" s="24" customFormat="1" ht="15.5" x14ac:dyDescent="0.35">
      <c r="A17" s="15" t="str">
        <f>LEFT('Grille de délibération'!P5,7)</f>
        <v>ACD1351</v>
      </c>
      <c r="B17" s="15" t="str">
        <f>MID('Grille de délibération'!P5,10,50)</f>
        <v xml:space="preserve">Atelier de Communication Documentaire </v>
      </c>
      <c r="C17" s="6">
        <f>VLOOKUP(C5,'Grille de délibération'!$B$9:$AY$535,14,0)</f>
        <v>5</v>
      </c>
      <c r="D17" s="5">
        <f>'Grille de délibération'!P7</f>
        <v>6</v>
      </c>
      <c r="E17" s="100">
        <f>VLOOKUP(C5,'Grille de délibération'!$B$9:$AY$535,18,0)</f>
        <v>9</v>
      </c>
      <c r="F17" s="102" t="str">
        <f>IF(C17&gt;=10,"Validée","Non Validée")</f>
        <v>Non Validée</v>
      </c>
    </row>
    <row r="18" spans="1:6" s="24" customFormat="1" x14ac:dyDescent="0.35">
      <c r="A18" s="4"/>
      <c r="B18" s="16" t="str">
        <f>'Grille de délibération'!Q5</f>
        <v>Eléments de technique de Diffusion et de Distribution</v>
      </c>
      <c r="C18" s="4">
        <f>VLOOKUP(C5,'Grille de délibération'!$B$9:$AY$535,15,0)</f>
        <v>7</v>
      </c>
      <c r="D18" s="4">
        <f>'Grille de délibération'!Q7</f>
        <v>2</v>
      </c>
      <c r="E18" s="101"/>
      <c r="F18" s="103"/>
    </row>
    <row r="19" spans="1:6" s="24" customFormat="1" x14ac:dyDescent="0.35">
      <c r="A19" s="4"/>
      <c r="B19" s="16" t="str">
        <f>'Grille de délibération'!R5</f>
        <v>Eléments de technique de la Publication</v>
      </c>
      <c r="C19" s="4">
        <f>VLOOKUP(C5,'Grille de délibération'!$B$9:$AY$535,16,0)</f>
        <v>0</v>
      </c>
      <c r="D19" s="4">
        <f>'Grille de délibération'!R7</f>
        <v>2</v>
      </c>
      <c r="E19" s="101"/>
      <c r="F19" s="103"/>
    </row>
    <row r="20" spans="1:6" s="24" customFormat="1" x14ac:dyDescent="0.35">
      <c r="A20" s="4"/>
      <c r="B20" s="16" t="str">
        <f>'Grille de délibération'!S5</f>
        <v>Communication scientifique</v>
      </c>
      <c r="C20" s="4">
        <f>VLOOKUP(C5,'Grille de délibération'!$B$9:$AY$535,17,0)</f>
        <v>12</v>
      </c>
      <c r="D20" s="4">
        <f>'Grille de délibération'!S7</f>
        <v>2</v>
      </c>
      <c r="E20" s="101"/>
      <c r="F20" s="104"/>
    </row>
    <row r="21" spans="1:6" s="24" customFormat="1" ht="15.5" x14ac:dyDescent="0.35">
      <c r="A21" s="15" t="str">
        <f>LEFT('Grille de délibération'!U5,7)</f>
        <v>MAD1231</v>
      </c>
      <c r="B21" s="18" t="str">
        <f>MID('Grille de délibération'!U5,11,50)</f>
        <v>Statistiques appliquées</v>
      </c>
      <c r="C21" s="6">
        <f>VLOOKUP(C5,'Grille de délibération'!$B$9:$AY$535,19,0)</f>
        <v>2</v>
      </c>
      <c r="D21" s="5">
        <f>'Grille de délibération'!U7</f>
        <v>5</v>
      </c>
      <c r="E21" s="94">
        <f>VLOOKUP(C5,'Grille de délibération'!$B$9:$AY$535,24,0)</f>
        <v>13</v>
      </c>
      <c r="F21" s="102" t="str">
        <f>IF(C21&gt;=10,"Validée","Non Validée")</f>
        <v>Non Validée</v>
      </c>
    </row>
    <row r="22" spans="1:6" s="24" customFormat="1" ht="15.5" x14ac:dyDescent="0.35">
      <c r="A22" s="4"/>
      <c r="B22" s="17" t="str">
        <f>'Grille de délibération'!V5</f>
        <v xml:space="preserve">ATCPP manuel et électronique des documents </v>
      </c>
      <c r="C22" s="4">
        <f>VLOOKUP(C5,'Grille de délibération'!$B$9:$AY$535,20,0)</f>
        <v>2.6</v>
      </c>
      <c r="D22" s="4">
        <f>'Grille de délibération'!V7</f>
        <v>2</v>
      </c>
      <c r="E22" s="95"/>
      <c r="F22" s="103"/>
    </row>
    <row r="23" spans="1:6" s="24" customFormat="1" ht="15.5" x14ac:dyDescent="0.35">
      <c r="A23" s="4"/>
      <c r="B23" s="17" t="str">
        <f>'Grille de délibération'!W5</f>
        <v xml:space="preserve">ATCPP documents dans une bibliothèque </v>
      </c>
      <c r="C23" s="4">
        <f>VLOOKUP(C5,'Grille de délibération'!$B$9:$AY$535,21,0)</f>
        <v>0</v>
      </c>
      <c r="D23" s="4">
        <f>'Grille de délibération'!W7</f>
        <v>1</v>
      </c>
      <c r="E23" s="95"/>
      <c r="F23" s="103"/>
    </row>
    <row r="24" spans="1:6" s="24" customFormat="1" ht="15.5" x14ac:dyDescent="0.35">
      <c r="A24" s="4"/>
      <c r="B24" s="17" t="str">
        <f>'Grille de délibération'!X5</f>
        <v>ATCPP des documents dans un service d’archives</v>
      </c>
      <c r="C24" s="4">
        <f>VLOOKUP(C5,'Grille de délibération'!$B$9:$AY$535,22,0)</f>
        <v>0</v>
      </c>
      <c r="D24" s="4">
        <f>'Grille de délibération'!X7</f>
        <v>1</v>
      </c>
      <c r="E24" s="95"/>
      <c r="F24" s="103"/>
    </row>
    <row r="25" spans="1:6" s="24" customFormat="1" ht="15.5" x14ac:dyDescent="0.35">
      <c r="A25" s="19"/>
      <c r="B25" s="20" t="str">
        <f>'Grille de délibération'!Y5</f>
        <v>ATCPP des documents dans une maison</v>
      </c>
      <c r="C25" s="4">
        <f>VLOOKUP(C5,'Grille de délibération'!$B$9:$AY$535,23,0)</f>
        <v>0</v>
      </c>
      <c r="D25" s="19">
        <f>'Grille de délibération'!Y7</f>
        <v>1</v>
      </c>
      <c r="E25" s="96"/>
      <c r="F25" s="104"/>
    </row>
    <row r="26" spans="1:6" s="24" customFormat="1" ht="15.5" x14ac:dyDescent="0.35">
      <c r="A26" s="15" t="str">
        <f>LEFT('Grille de délibération'!AA5,7)</f>
        <v>AGD1351</v>
      </c>
      <c r="B26" s="18" t="str">
        <f>MID('Grille de délibération'!AA5,11,50)</f>
        <v>Atelier d’organisation et Gestion des
Institutions</v>
      </c>
      <c r="C26" s="6">
        <f>VLOOKUP(C5,'Grille de délibération'!$B$9:$AY$535,25,0)</f>
        <v>1</v>
      </c>
      <c r="D26" s="5">
        <f>'Grille de délibération'!AA7</f>
        <v>6</v>
      </c>
      <c r="E26" s="94">
        <f>VLOOKUP(C5,'Grille de délibération'!$B$9:$AY$535,32,0)</f>
        <v>12</v>
      </c>
      <c r="F26" s="102" t="str">
        <f>IF(C26&gt;=10,"Validée","Non Validée")</f>
        <v>Non Validée</v>
      </c>
    </row>
    <row r="27" spans="1:6" s="24" customFormat="1" ht="15.5" x14ac:dyDescent="0.35">
      <c r="A27" s="4"/>
      <c r="B27" s="17" t="str">
        <f>'Grille de délibération'!AB5</f>
        <v>Initiation à l’Organisation et Gestion d’une Institution documentaire</v>
      </c>
      <c r="C27" s="4">
        <f>VLOOKUP(C5,'Grille de délibération'!$B$9:$AY$535,26,0)</f>
        <v>8.1666666666666661</v>
      </c>
      <c r="D27" s="4">
        <f>'Grille de délibération'!AB7</f>
        <v>1</v>
      </c>
      <c r="E27" s="95"/>
      <c r="F27" s="103"/>
    </row>
    <row r="28" spans="1:6" s="24" customFormat="1" ht="15.5" x14ac:dyDescent="0.35">
      <c r="A28" s="4"/>
      <c r="B28" s="17" t="str">
        <f>'Grille de délibération'!AC5</f>
        <v xml:space="preserve">Organisation et Gestion des archives  </v>
      </c>
      <c r="C28" s="4">
        <f>VLOOKUP(C5,'Grille de délibération'!$B$9:$AY$535,27,0)</f>
        <v>0</v>
      </c>
      <c r="D28" s="4">
        <f>'Grille de délibération'!AC7</f>
        <v>1</v>
      </c>
      <c r="E28" s="95"/>
      <c r="F28" s="103"/>
    </row>
    <row r="29" spans="1:6" s="24" customFormat="1" ht="15.5" x14ac:dyDescent="0.35">
      <c r="A29" s="4"/>
      <c r="B29" s="17" t="str">
        <f>'Grille de délibération'!AD5</f>
        <v xml:space="preserve">Organisation et gestion des bibliothèques </v>
      </c>
      <c r="C29" s="4">
        <f>VLOOKUP(C5,'Grille de délibération'!$B$9:$AY$535,28,0)</f>
        <v>13</v>
      </c>
      <c r="D29" s="4">
        <f>'Grille de délibération'!AD7</f>
        <v>1</v>
      </c>
      <c r="E29" s="95"/>
      <c r="F29" s="103"/>
    </row>
    <row r="30" spans="1:6" s="24" customFormat="1" ht="15.5" x14ac:dyDescent="0.35">
      <c r="A30" s="4"/>
      <c r="B30" s="17" t="str">
        <f>'Grille de délibération'!AE5</f>
        <v xml:space="preserve">Organisation et Gestion des Maison d’édition </v>
      </c>
      <c r="C30" s="4">
        <f>VLOOKUP(C5,'Grille de délibération'!$B$9:$AY$535,29,0)</f>
        <v>12</v>
      </c>
      <c r="D30" s="4">
        <f>'Grille de délibération'!AE7</f>
        <v>1</v>
      </c>
      <c r="E30" s="95"/>
      <c r="F30" s="103"/>
    </row>
    <row r="31" spans="1:6" s="24" customFormat="1" ht="15.5" x14ac:dyDescent="0.35">
      <c r="A31" s="4"/>
      <c r="B31" s="17" t="str">
        <f>'Grille de délibération'!AF5</f>
        <v>Organisation et Gestion d’une Imprimerie et de librairie</v>
      </c>
      <c r="C31" s="4">
        <f>VLOOKUP(C5,'Grille de délibération'!$B$9:$AY$535,30,0)</f>
        <v>12</v>
      </c>
      <c r="D31" s="4">
        <f>'Grille de délibération'!AF7</f>
        <v>1</v>
      </c>
      <c r="E31" s="95"/>
      <c r="F31" s="103"/>
    </row>
    <row r="32" spans="1:6" s="24" customFormat="1" ht="15.5" x14ac:dyDescent="0.35">
      <c r="A32" s="19"/>
      <c r="B32" s="20" t="str">
        <f>'Grille de délibération'!AG5</f>
        <v>Organisation et Gestion d’un espace culturel</v>
      </c>
      <c r="C32" s="4">
        <f>VLOOKUP(C5,'Grille de délibération'!$B$9:$AY$535,31,0)</f>
        <v>0</v>
      </c>
      <c r="D32" s="19">
        <f>'Grille de délibération'!AG7</f>
        <v>1</v>
      </c>
      <c r="E32" s="96"/>
      <c r="F32" s="104"/>
    </row>
    <row r="33" spans="1:6" s="24" customFormat="1" ht="15.5" x14ac:dyDescent="0.35">
      <c r="A33" s="15" t="str">
        <f>LEFT('Grille de délibération'!AI5,7)</f>
        <v>LSD1353</v>
      </c>
      <c r="B33" s="18" t="str">
        <f>MID('Grille de délibération'!AI5,11,50)</f>
        <v xml:space="preserve">Stage Professionnel </v>
      </c>
      <c r="C33" s="6">
        <f>VLOOKUP(C5,'Grille de délibération'!$B$9:$AY$535,33,0)</f>
        <v>4</v>
      </c>
      <c r="D33" s="5">
        <f>'Grille de délibération'!AI7</f>
        <v>8</v>
      </c>
      <c r="E33" s="94">
        <f>VLOOKUP(C5,'Grille de délibération'!$B$9:$AY$535,35,0)</f>
        <v>14</v>
      </c>
      <c r="F33" s="102" t="str">
        <f>IF(C33&gt;=10,"Validée","Non Validée")</f>
        <v>Non Validée</v>
      </c>
    </row>
    <row r="34" spans="1:6" s="24" customFormat="1" ht="15.5" x14ac:dyDescent="0.35">
      <c r="A34" s="4"/>
      <c r="B34" s="17" t="str">
        <f>'Grille de délibération'!AJ5</f>
        <v xml:space="preserve">Stage Professionnel </v>
      </c>
      <c r="C34" s="4">
        <f>VLOOKUP(C5,'Grille de délibération'!$B$9:$AY$535,34,0)</f>
        <v>14</v>
      </c>
      <c r="D34" s="4">
        <f>'Grille de délibération'!AJ7</f>
        <v>8</v>
      </c>
      <c r="E34" s="95"/>
      <c r="F34" s="104"/>
    </row>
    <row r="35" spans="1:6" s="24" customFormat="1" ht="15.75" customHeight="1" x14ac:dyDescent="0.35">
      <c r="A35" s="4"/>
      <c r="B35" s="21" t="s">
        <v>17</v>
      </c>
      <c r="C35" s="4"/>
      <c r="D35" s="4">
        <f>+'Grille de délibération'!AM6</f>
        <v>30</v>
      </c>
      <c r="E35" s="28">
        <f>SUM(E11:E34)</f>
        <v>60</v>
      </c>
      <c r="F35" s="4"/>
    </row>
    <row r="36" spans="1:6" s="24" customFormat="1" ht="15.75" customHeight="1" x14ac:dyDescent="0.35">
      <c r="A36" s="22"/>
      <c r="B36" s="23"/>
      <c r="F36" s="25"/>
    </row>
    <row r="37" spans="1:6" s="24" customFormat="1" ht="15.5" x14ac:dyDescent="0.35">
      <c r="A37" s="4"/>
      <c r="B37" s="26" t="s">
        <v>21</v>
      </c>
      <c r="C37" s="6">
        <f>VLOOKUP(C5,'Grille de délibération'!$B$9:$AY$535,36,0)</f>
        <v>8</v>
      </c>
      <c r="D37" s="97" t="s">
        <v>18</v>
      </c>
      <c r="E37" s="98"/>
      <c r="F37" s="5" t="str">
        <f>CONCATENATE(E35,"/","30")</f>
        <v>60/30</v>
      </c>
    </row>
    <row r="38" spans="1:6" s="24" customFormat="1" ht="15.75" customHeight="1" x14ac:dyDescent="0.35">
      <c r="A38" s="88"/>
      <c r="B38" s="89"/>
      <c r="C38" s="89"/>
      <c r="D38" s="89"/>
      <c r="E38" s="89"/>
      <c r="F38" s="90"/>
    </row>
    <row r="39" spans="1:6" s="24" customFormat="1" ht="65.25" customHeight="1" x14ac:dyDescent="0.35">
      <c r="A39" s="82" t="str">
        <f>IF(AND(F11="Validée",F17="Validée",F21="Validée",F26="Validée",F33="Validée"),"Décision du Jury : Crédits Validés",CONCATENATE("Décision du jury : Crédits de : ",IF(F11="Non validée",B11,""),", ",IF(F17="Non validée",B17,""),",",IF(F26="Non validée",B26,""),", ",IF(F33="Non validée",B33,""),", ",IF(F21="Non validée",B21,"")," à Valider"))</f>
        <v>Décision du jury : Crédits de : Atelier de Fabrication et de publication , Atelier de Communication Documentaire ,Atelier d’organisation et Gestion des
Institutions, Stage Professionnel , Statistiques appliquées à Valider</v>
      </c>
      <c r="B39" s="83"/>
      <c r="C39" s="83"/>
      <c r="D39" s="83"/>
      <c r="E39" s="83"/>
      <c r="F39" s="84"/>
    </row>
    <row r="40" spans="1:6" s="24" customFormat="1" ht="15.75" customHeight="1" x14ac:dyDescent="0.35">
      <c r="A40" s="85"/>
      <c r="B40" s="86"/>
      <c r="C40" s="86"/>
      <c r="D40" s="86"/>
      <c r="E40" s="86"/>
      <c r="F40" s="87"/>
    </row>
    <row r="41" spans="1:6" s="24" customFormat="1" ht="15.75" customHeight="1" x14ac:dyDescent="0.35">
      <c r="A41" s="22"/>
      <c r="B41" s="81" t="s">
        <v>19</v>
      </c>
      <c r="C41" s="81"/>
      <c r="D41" s="46">
        <f ca="1">TODAY()</f>
        <v>45886</v>
      </c>
      <c r="E41" s="47"/>
      <c r="F41" s="48"/>
    </row>
    <row r="42" spans="1:6" s="8" customFormat="1" ht="15.75" customHeight="1" x14ac:dyDescent="0.35">
      <c r="A42" s="10"/>
      <c r="B42" s="11"/>
      <c r="C42" s="11"/>
      <c r="D42" s="11"/>
      <c r="E42" s="11"/>
      <c r="F42" s="12"/>
    </row>
    <row r="43" spans="1:6" s="8" customFormat="1" ht="15.75" customHeight="1" x14ac:dyDescent="0.35">
      <c r="A43" s="91" t="s">
        <v>20</v>
      </c>
      <c r="B43" s="92"/>
      <c r="C43" s="92" t="s">
        <v>34</v>
      </c>
      <c r="D43" s="92"/>
      <c r="E43" s="92"/>
      <c r="F43" s="93"/>
    </row>
    <row r="44" spans="1:6" s="8" customFormat="1" ht="15.75" customHeight="1" x14ac:dyDescent="0.35">
      <c r="A44" s="10"/>
      <c r="B44" s="11" t="s">
        <v>160</v>
      </c>
      <c r="C44" s="11"/>
      <c r="E44" s="11" t="s">
        <v>33</v>
      </c>
      <c r="F44" s="12"/>
    </row>
    <row r="45" spans="1:6" s="8" customFormat="1" ht="15.75" customHeight="1" x14ac:dyDescent="0.35">
      <c r="A45" s="31"/>
      <c r="B45" s="32"/>
      <c r="C45" s="32"/>
      <c r="D45" s="32"/>
      <c r="E45" s="32"/>
      <c r="F45" s="33"/>
    </row>
    <row r="46" spans="1:6" s="8" customFormat="1" x14ac:dyDescent="0.35"/>
    <row r="47" spans="1:6" s="8" customFormat="1" x14ac:dyDescent="0.35"/>
    <row r="48" spans="1:6" s="8" customFormat="1" x14ac:dyDescent="0.35"/>
    <row r="49" s="8" customFormat="1" x14ac:dyDescent="0.35"/>
    <row r="50" s="8" customFormat="1" x14ac:dyDescent="0.35"/>
    <row r="51" s="8" customFormat="1" x14ac:dyDescent="0.35"/>
    <row r="52" s="8" customFormat="1" x14ac:dyDescent="0.35"/>
    <row r="53" s="8" customFormat="1" x14ac:dyDescent="0.35"/>
    <row r="54" s="8" customFormat="1" x14ac:dyDescent="0.35"/>
    <row r="55" s="8" customFormat="1" x14ac:dyDescent="0.35"/>
    <row r="56" s="8" customFormat="1" x14ac:dyDescent="0.35"/>
    <row r="57" s="8" customFormat="1" x14ac:dyDescent="0.35"/>
    <row r="58" s="8" customFormat="1" x14ac:dyDescent="0.35"/>
    <row r="59" s="8" customFormat="1" x14ac:dyDescent="0.35"/>
    <row r="60" s="8" customFormat="1" x14ac:dyDescent="0.35"/>
    <row r="61" s="8" customFormat="1" x14ac:dyDescent="0.35"/>
    <row r="62" s="8" customFormat="1" x14ac:dyDescent="0.35"/>
    <row r="63" s="8" customFormat="1" x14ac:dyDescent="0.35"/>
    <row r="64" s="8" customFormat="1" x14ac:dyDescent="0.35"/>
    <row r="65" s="8" customFormat="1" x14ac:dyDescent="0.35"/>
    <row r="66" s="8" customFormat="1" x14ac:dyDescent="0.35"/>
    <row r="67" s="8" customFormat="1" x14ac:dyDescent="0.35"/>
    <row r="68" s="8" customFormat="1" x14ac:dyDescent="0.35"/>
    <row r="69" s="8" customFormat="1" x14ac:dyDescent="0.35"/>
    <row r="70" s="8" customFormat="1" x14ac:dyDescent="0.35"/>
    <row r="71" s="8" customFormat="1" x14ac:dyDescent="0.35"/>
    <row r="72" s="8" customFormat="1" x14ac:dyDescent="0.35"/>
    <row r="73" s="8" customFormat="1" x14ac:dyDescent="0.35"/>
    <row r="74" s="8" customFormat="1" x14ac:dyDescent="0.35"/>
    <row r="75" s="8" customFormat="1" x14ac:dyDescent="0.35"/>
    <row r="76" s="8" customFormat="1" x14ac:dyDescent="0.35"/>
    <row r="77" s="8" customFormat="1" x14ac:dyDescent="0.35"/>
    <row r="78" s="8" customFormat="1" x14ac:dyDescent="0.35"/>
    <row r="79" s="8" customFormat="1" x14ac:dyDescent="0.35"/>
    <row r="80" s="8" customFormat="1" x14ac:dyDescent="0.35"/>
    <row r="81" s="8" customFormat="1" x14ac:dyDescent="0.35"/>
    <row r="82" s="8" customFormat="1" x14ac:dyDescent="0.35"/>
    <row r="83" s="8" customFormat="1" x14ac:dyDescent="0.35"/>
    <row r="84" s="8" customFormat="1" x14ac:dyDescent="0.35"/>
    <row r="85" s="8" customFormat="1" x14ac:dyDescent="0.35"/>
    <row r="86" s="8" customFormat="1" x14ac:dyDescent="0.35"/>
    <row r="87" s="8" customFormat="1" x14ac:dyDescent="0.35"/>
    <row r="88" s="8" customFormat="1" x14ac:dyDescent="0.35"/>
    <row r="89" s="8" customFormat="1" x14ac:dyDescent="0.35"/>
    <row r="90" s="8" customFormat="1" x14ac:dyDescent="0.35"/>
    <row r="91" s="8" customFormat="1" x14ac:dyDescent="0.35"/>
    <row r="92" s="8" customFormat="1" x14ac:dyDescent="0.35"/>
    <row r="93" s="8" customFormat="1" x14ac:dyDescent="0.35"/>
    <row r="94" s="8" customFormat="1" x14ac:dyDescent="0.35"/>
    <row r="95" s="8" customFormat="1" x14ac:dyDescent="0.35"/>
    <row r="96" s="8" customFormat="1" x14ac:dyDescent="0.35"/>
    <row r="97" s="8" customFormat="1" x14ac:dyDescent="0.35"/>
  </sheetData>
  <sheetProtection algorithmName="SHA-512" hashValue="1fqmJPbZvL9sDJgdEvlT0TtNysgT3r3WZM6X7Wu33vsUJBKXmLQ1YNUvdOp7aDaF0Xh2DX5P8AC05jlqeUiu9Q==" saltValue="kS9tO0JWfpfFUPVQG/JGrw==" spinCount="100000" sheet="1" formatColumns="0" formatRows="0" insertColumns="0" insertRows="0" deleteColumns="0" deleteRows="0"/>
  <mergeCells count="21">
    <mergeCell ref="E21:E25"/>
    <mergeCell ref="D37:E37"/>
    <mergeCell ref="A1:F1"/>
    <mergeCell ref="A2:F2"/>
    <mergeCell ref="A3:F3"/>
    <mergeCell ref="E11:E16"/>
    <mergeCell ref="E17:E20"/>
    <mergeCell ref="A4:F4"/>
    <mergeCell ref="E26:E32"/>
    <mergeCell ref="E33:E34"/>
    <mergeCell ref="F11:F16"/>
    <mergeCell ref="F17:F20"/>
    <mergeCell ref="F21:F25"/>
    <mergeCell ref="F26:F32"/>
    <mergeCell ref="F33:F34"/>
    <mergeCell ref="B41:C41"/>
    <mergeCell ref="A39:F39"/>
    <mergeCell ref="A40:F40"/>
    <mergeCell ref="A38:F38"/>
    <mergeCell ref="A43:B43"/>
    <mergeCell ref="C43:F43"/>
  </mergeCells>
  <conditionalFormatting sqref="C11:C34">
    <cfRule type="cellIs" dxfId="2" priority="1" operator="lessThan">
      <formula>10</formula>
    </cfRule>
  </conditionalFormatting>
  <conditionalFormatting sqref="C37">
    <cfRule type="cellIs" dxfId="1" priority="5" operator="lessThan">
      <formula>10</formula>
    </cfRule>
  </conditionalFormatting>
  <pageMargins left="0.7" right="0.7" top="0.75" bottom="0.75" header="0.3" footer="0.3"/>
  <pageSetup paperSize="9" scale="63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F75"/>
  <sheetViews>
    <sheetView zoomScale="110" zoomScaleNormal="110" workbookViewId="0">
      <selection activeCell="A17" sqref="A17:F17"/>
    </sheetView>
  </sheetViews>
  <sheetFormatPr baseColWidth="10" defaultRowHeight="14.5" x14ac:dyDescent="0.35"/>
  <cols>
    <col min="2" max="2" width="39.08984375" customWidth="1"/>
    <col min="3" max="3" width="13.36328125" customWidth="1"/>
    <col min="5" max="5" width="14.08984375" customWidth="1"/>
    <col min="6" max="6" width="16.36328125" bestFit="1" customWidth="1"/>
  </cols>
  <sheetData>
    <row r="1" spans="1:6" s="24" customFormat="1" ht="15.65" customHeight="1" x14ac:dyDescent="0.35">
      <c r="A1" s="99" t="s">
        <v>0</v>
      </c>
      <c r="B1" s="99"/>
      <c r="C1" s="99"/>
      <c r="D1" s="99"/>
      <c r="E1" s="99"/>
      <c r="F1" s="99"/>
    </row>
    <row r="2" spans="1:6" s="24" customFormat="1" ht="15.65" customHeight="1" x14ac:dyDescent="0.35">
      <c r="A2" s="99" t="str">
        <f>'Grille de délibération'!A2:AX2</f>
        <v>SECTION SCIENCE TECHNIQU DOCUMENTAIRE</v>
      </c>
      <c r="B2" s="99"/>
      <c r="C2" s="99"/>
      <c r="D2" s="99"/>
      <c r="E2" s="99"/>
      <c r="F2" s="99"/>
    </row>
    <row r="3" spans="1:6" s="24" customFormat="1" ht="15.65" customHeight="1" x14ac:dyDescent="0.35">
      <c r="A3" s="99" t="str">
        <f>'Grille de délibération'!A3:AX3</f>
        <v>PROMOTION: TROISIEME LICENCE LMD STD</v>
      </c>
      <c r="B3" s="99"/>
      <c r="C3" s="99"/>
      <c r="D3" s="99"/>
      <c r="E3" s="99"/>
      <c r="F3" s="99"/>
    </row>
    <row r="4" spans="1:6" s="24" customFormat="1" ht="15.65" customHeight="1" x14ac:dyDescent="0.35">
      <c r="A4" s="99" t="s">
        <v>128</v>
      </c>
      <c r="B4" s="99"/>
      <c r="C4" s="99"/>
      <c r="D4" s="99"/>
      <c r="E4" s="99"/>
      <c r="F4" s="99"/>
    </row>
    <row r="5" spans="1:6" s="24" customFormat="1" ht="15.65" customHeight="1" x14ac:dyDescent="0.35">
      <c r="A5" s="9"/>
      <c r="B5" s="63" t="s">
        <v>27</v>
      </c>
      <c r="C5" t="str">
        <f>Relevé_S5!C5</f>
        <v>M0001</v>
      </c>
      <c r="D5" s="9"/>
      <c r="E5" s="9"/>
      <c r="F5" s="9"/>
    </row>
    <row r="6" spans="1:6" s="24" customFormat="1" ht="15.65" customHeight="1" x14ac:dyDescent="0.35">
      <c r="B6" s="35" t="s">
        <v>28</v>
      </c>
      <c r="C6" s="24">
        <f>VLOOKUP(C5,'Grille de délibération'!$B$9:$AY$535,2,0)</f>
        <v>0</v>
      </c>
    </row>
    <row r="7" spans="1:6" s="24" customFormat="1" ht="15.65" customHeight="1" x14ac:dyDescent="0.35">
      <c r="B7" s="35" t="s">
        <v>29</v>
      </c>
      <c r="C7" s="24" t="str">
        <f>VLOOKUP(C5,'Grille de délibération'!$B$9:$AY$535,3,0)</f>
        <v>AYINO</v>
      </c>
    </row>
    <row r="8" spans="1:6" s="24" customFormat="1" ht="15.65" customHeight="1" x14ac:dyDescent="0.35">
      <c r="B8" s="35" t="s">
        <v>30</v>
      </c>
      <c r="C8" s="24" t="str">
        <f>VLOOKUP(C5,'Grille de délibération'!$B$9:$AY$535,4,0)</f>
        <v>NGALASI</v>
      </c>
    </row>
    <row r="9" spans="1:6" s="24" customFormat="1" ht="15.65" customHeight="1" x14ac:dyDescent="0.35">
      <c r="B9" s="35" t="s">
        <v>31</v>
      </c>
      <c r="C9" s="24">
        <f>VLOOKUP(C5,'Grille de délibération'!$B$9:$AY$535,5,0)</f>
        <v>0</v>
      </c>
    </row>
    <row r="10" spans="1:6" s="24" customFormat="1" x14ac:dyDescent="0.35">
      <c r="A10" s="4" t="s">
        <v>11</v>
      </c>
      <c r="B10" s="4" t="s">
        <v>7</v>
      </c>
      <c r="C10" s="4" t="s">
        <v>9</v>
      </c>
      <c r="D10" s="4" t="s">
        <v>5</v>
      </c>
      <c r="E10" s="4" t="s">
        <v>8</v>
      </c>
      <c r="F10" s="4" t="s">
        <v>6</v>
      </c>
    </row>
    <row r="11" spans="1:6" s="24" customFormat="1" ht="15.5" x14ac:dyDescent="0.35">
      <c r="A11" s="15" t="str">
        <f>LEFT('Grille de délibération'!AO5,7)</f>
        <v>PLS1354</v>
      </c>
      <c r="B11" s="18" t="str">
        <f>MID('Grille de délibération'!AO5,11,50)</f>
        <v xml:space="preserve">Projet tutoré </v>
      </c>
      <c r="C11" s="6">
        <f>VLOOKUP(C5,'Grille de délibération'!$B$9:$AY$535,39,0)</f>
        <v>0</v>
      </c>
      <c r="D11" s="5">
        <f>'Grille de délibération'!AO7</f>
        <v>30</v>
      </c>
      <c r="E11" s="108">
        <f>VLOOKUP(C5,'Grille de délibération'!$B$9:$AY$535,41,0)</f>
        <v>8</v>
      </c>
      <c r="F11" s="102" t="str">
        <f>IF(C11&gt;=10,"Validée","Non Validée")</f>
        <v>Non Validée</v>
      </c>
    </row>
    <row r="12" spans="1:6" s="24" customFormat="1" ht="15.5" x14ac:dyDescent="0.35">
      <c r="A12" s="4"/>
      <c r="B12" s="17" t="str">
        <f>'Grille de délibération'!AP5</f>
        <v xml:space="preserve">Projet tutoré </v>
      </c>
      <c r="C12" s="4">
        <f>VLOOKUP(C5,'Grille de délibération'!$B$9:$AY$535,40,0)</f>
        <v>8</v>
      </c>
      <c r="D12" s="4">
        <f>'Grille de délibération'!AP7</f>
        <v>30</v>
      </c>
      <c r="E12" s="109"/>
      <c r="F12" s="104"/>
    </row>
    <row r="13" spans="1:6" s="24" customFormat="1" ht="15.75" customHeight="1" x14ac:dyDescent="0.35">
      <c r="A13" s="4"/>
      <c r="B13" s="21" t="s">
        <v>17</v>
      </c>
      <c r="C13" s="4"/>
      <c r="D13" s="4">
        <f>+'Grille de délibération'!AS6</f>
        <v>30</v>
      </c>
      <c r="E13" s="29">
        <f>SUM(E11:E12)</f>
        <v>8</v>
      </c>
      <c r="F13" s="4"/>
    </row>
    <row r="14" spans="1:6" s="24" customFormat="1" ht="15.75" customHeight="1" x14ac:dyDescent="0.35">
      <c r="A14" s="22"/>
      <c r="B14" s="23"/>
      <c r="F14" s="25"/>
    </row>
    <row r="15" spans="1:6" s="24" customFormat="1" ht="15.5" x14ac:dyDescent="0.35">
      <c r="A15" s="4"/>
      <c r="B15" s="26" t="s">
        <v>21</v>
      </c>
      <c r="C15" s="27">
        <f>VLOOKUP(C5,'Grille de délibération'!$B$9:$AY$535,42,0)</f>
        <v>0</v>
      </c>
      <c r="D15" s="97" t="s">
        <v>18</v>
      </c>
      <c r="E15" s="98"/>
      <c r="F15" s="5" t="str">
        <f>CONCATENATE(E13,"/","30")</f>
        <v>8/30</v>
      </c>
    </row>
    <row r="16" spans="1:6" s="24" customFormat="1" ht="15.75" customHeight="1" x14ac:dyDescent="0.35">
      <c r="A16" s="110"/>
      <c r="B16" s="111"/>
      <c r="C16" s="111"/>
      <c r="D16" s="111"/>
      <c r="E16" s="111"/>
      <c r="F16" s="112"/>
    </row>
    <row r="17" spans="1:6" s="24" customFormat="1" ht="65.25" customHeight="1" x14ac:dyDescent="0.35">
      <c r="A17" s="105" t="str">
        <f>IF(AND(F11="Validée"),"Décision du Jury : Crédits Validés",CONCATENATE("Décision du jury : Crédits de : ",IF(F11="Non validée",B11,""),," à Valider"))</f>
        <v>Décision du jury : Crédits de : Projet tutoré  à Valider</v>
      </c>
      <c r="B17" s="106"/>
      <c r="C17" s="106"/>
      <c r="D17" s="106"/>
      <c r="E17" s="106"/>
      <c r="F17" s="107"/>
    </row>
    <row r="18" spans="1:6" s="24" customFormat="1" ht="15.75" customHeight="1" x14ac:dyDescent="0.35">
      <c r="A18" s="85"/>
      <c r="B18" s="86"/>
      <c r="C18" s="86"/>
      <c r="D18" s="86"/>
      <c r="E18" s="86"/>
      <c r="F18" s="87"/>
    </row>
    <row r="19" spans="1:6" s="24" customFormat="1" ht="15.75" customHeight="1" x14ac:dyDescent="0.35">
      <c r="B19" s="81" t="s">
        <v>19</v>
      </c>
      <c r="C19" s="81"/>
      <c r="D19" s="46">
        <f ca="1">TODAY()</f>
        <v>45886</v>
      </c>
      <c r="E19" s="47"/>
      <c r="F19" s="48"/>
    </row>
    <row r="20" spans="1:6" s="8" customFormat="1" ht="15.75" customHeight="1" x14ac:dyDescent="0.35">
      <c r="A20" s="10"/>
      <c r="B20" s="11"/>
      <c r="C20" s="11"/>
      <c r="D20" s="11"/>
      <c r="E20" s="11"/>
      <c r="F20" s="12"/>
    </row>
    <row r="21" spans="1:6" s="8" customFormat="1" ht="15.75" customHeight="1" x14ac:dyDescent="0.35">
      <c r="A21" s="91" t="s">
        <v>20</v>
      </c>
      <c r="B21" s="92"/>
      <c r="C21" s="92" t="s">
        <v>34</v>
      </c>
      <c r="D21" s="92"/>
      <c r="E21" s="92"/>
      <c r="F21" s="93"/>
    </row>
    <row r="22" spans="1:6" s="8" customFormat="1" ht="15.75" customHeight="1" x14ac:dyDescent="0.35">
      <c r="A22" s="10"/>
      <c r="B22" s="11" t="s">
        <v>32</v>
      </c>
      <c r="C22" s="11"/>
      <c r="E22" s="11" t="s">
        <v>33</v>
      </c>
      <c r="F22" s="12"/>
    </row>
    <row r="23" spans="1:6" s="8" customFormat="1" ht="15.75" customHeight="1" x14ac:dyDescent="0.35">
      <c r="A23" s="13"/>
      <c r="B23" s="9"/>
      <c r="C23" s="9"/>
      <c r="D23" s="9"/>
      <c r="E23" s="9"/>
      <c r="F23" s="14"/>
    </row>
    <row r="24" spans="1:6" s="8" customFormat="1" x14ac:dyDescent="0.35"/>
    <row r="25" spans="1:6" s="8" customFormat="1" x14ac:dyDescent="0.35"/>
    <row r="26" spans="1:6" s="8" customFormat="1" x14ac:dyDescent="0.35"/>
    <row r="27" spans="1:6" s="8" customFormat="1" x14ac:dyDescent="0.35"/>
    <row r="28" spans="1:6" s="8" customFormat="1" x14ac:dyDescent="0.35"/>
    <row r="29" spans="1:6" s="8" customFormat="1" x14ac:dyDescent="0.35"/>
    <row r="30" spans="1:6" s="8" customFormat="1" x14ac:dyDescent="0.35"/>
    <row r="31" spans="1:6" s="8" customFormat="1" x14ac:dyDescent="0.35"/>
    <row r="32" spans="1:6" s="8" customFormat="1" x14ac:dyDescent="0.35"/>
    <row r="33" s="8" customFormat="1" x14ac:dyDescent="0.35"/>
    <row r="34" s="8" customFormat="1" x14ac:dyDescent="0.35"/>
    <row r="35" s="8" customFormat="1" x14ac:dyDescent="0.35"/>
    <row r="36" s="8" customFormat="1" x14ac:dyDescent="0.35"/>
    <row r="37" s="8" customFormat="1" x14ac:dyDescent="0.35"/>
    <row r="38" s="8" customFormat="1" x14ac:dyDescent="0.35"/>
    <row r="39" s="8" customFormat="1" x14ac:dyDescent="0.35"/>
    <row r="40" s="8" customFormat="1" x14ac:dyDescent="0.35"/>
    <row r="41" s="8" customFormat="1" x14ac:dyDescent="0.35"/>
    <row r="42" s="8" customFormat="1" x14ac:dyDescent="0.35"/>
    <row r="43" s="8" customFormat="1" x14ac:dyDescent="0.35"/>
    <row r="44" s="8" customFormat="1" x14ac:dyDescent="0.35"/>
    <row r="45" s="8" customFormat="1" x14ac:dyDescent="0.35"/>
    <row r="46" s="8" customFormat="1" x14ac:dyDescent="0.35"/>
    <row r="47" s="8" customFormat="1" x14ac:dyDescent="0.35"/>
    <row r="48" s="8" customFormat="1" x14ac:dyDescent="0.35"/>
    <row r="49" s="8" customFormat="1" x14ac:dyDescent="0.35"/>
    <row r="50" s="8" customFormat="1" x14ac:dyDescent="0.35"/>
    <row r="51" s="8" customFormat="1" x14ac:dyDescent="0.35"/>
    <row r="52" s="8" customFormat="1" x14ac:dyDescent="0.35"/>
    <row r="53" s="8" customFormat="1" x14ac:dyDescent="0.35"/>
    <row r="54" s="8" customFormat="1" x14ac:dyDescent="0.35"/>
    <row r="55" s="8" customFormat="1" x14ac:dyDescent="0.35"/>
    <row r="56" s="8" customFormat="1" x14ac:dyDescent="0.35"/>
    <row r="57" s="8" customFormat="1" x14ac:dyDescent="0.35"/>
    <row r="58" s="8" customFormat="1" x14ac:dyDescent="0.35"/>
    <row r="59" s="8" customFormat="1" x14ac:dyDescent="0.35"/>
    <row r="60" s="8" customFormat="1" x14ac:dyDescent="0.35"/>
    <row r="61" s="8" customFormat="1" x14ac:dyDescent="0.35"/>
    <row r="62" s="8" customFormat="1" x14ac:dyDescent="0.35"/>
    <row r="63" s="8" customFormat="1" x14ac:dyDescent="0.35"/>
    <row r="64" s="8" customFormat="1" x14ac:dyDescent="0.35"/>
    <row r="65" s="8" customFormat="1" x14ac:dyDescent="0.35"/>
    <row r="66" s="8" customFormat="1" x14ac:dyDescent="0.35"/>
    <row r="67" s="8" customFormat="1" x14ac:dyDescent="0.35"/>
    <row r="68" s="8" customFormat="1" x14ac:dyDescent="0.35"/>
    <row r="69" s="8" customFormat="1" x14ac:dyDescent="0.35"/>
    <row r="70" s="8" customFormat="1" x14ac:dyDescent="0.35"/>
    <row r="71" s="8" customFormat="1" x14ac:dyDescent="0.35"/>
    <row r="72" s="8" customFormat="1" x14ac:dyDescent="0.35"/>
    <row r="73" s="8" customFormat="1" x14ac:dyDescent="0.35"/>
    <row r="74" s="8" customFormat="1" x14ac:dyDescent="0.35"/>
    <row r="75" s="8" customFormat="1" x14ac:dyDescent="0.35"/>
  </sheetData>
  <sheetProtection algorithmName="SHA-512" hashValue="uXmWbzBENwkRIG8aDSQQXIZitv/MUvmJ9TYQeuVnJnOiU62ICj3tEr90GwABoOLy9OhOx0J0sN+H6W5o2y+4kA==" saltValue="re1LZUqD8vnJF+QNYoSvMQ==" spinCount="100000" sheet="1" formatColumns="0" formatRows="0" insertColumns="0" insertRows="0" deleteColumns="0" deleteRows="0"/>
  <mergeCells count="13">
    <mergeCell ref="A1:F1"/>
    <mergeCell ref="A2:F2"/>
    <mergeCell ref="A3:F3"/>
    <mergeCell ref="A4:F4"/>
    <mergeCell ref="A21:B21"/>
    <mergeCell ref="C21:F21"/>
    <mergeCell ref="A17:F17"/>
    <mergeCell ref="A18:F18"/>
    <mergeCell ref="B19:C19"/>
    <mergeCell ref="E11:E12"/>
    <mergeCell ref="D15:E15"/>
    <mergeCell ref="A16:F16"/>
    <mergeCell ref="F11:F12"/>
  </mergeCells>
  <conditionalFormatting sqref="C11:C13">
    <cfRule type="cellIs" dxfId="0" priority="1" operator="lessThan">
      <formula>10</formula>
    </cfRule>
  </conditionalFormatting>
  <pageMargins left="0.7" right="0.7" top="0.75" bottom="0.75" header="0.3" footer="0.3"/>
  <pageSetup paperSize="9" scale="82" orientation="portrait" horizontalDpi="0" verticalDpi="0" r:id="rId1"/>
  <ignoredErrors>
    <ignoredError sqref="F1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G40"/>
  <sheetViews>
    <sheetView topLeftCell="A2" zoomScale="85" zoomScaleNormal="85" zoomScaleSheetLayoutView="130" workbookViewId="0">
      <selection activeCell="A34" sqref="A34"/>
    </sheetView>
  </sheetViews>
  <sheetFormatPr baseColWidth="10" defaultRowHeight="14.5" x14ac:dyDescent="0.35"/>
  <cols>
    <col min="2" max="2" width="52.453125" bestFit="1" customWidth="1"/>
    <col min="3" max="3" width="13.36328125" customWidth="1"/>
    <col min="5" max="5" width="17.90625" customWidth="1"/>
    <col min="6" max="6" width="14.08984375" customWidth="1"/>
    <col min="7" max="7" width="16.90625" customWidth="1"/>
  </cols>
  <sheetData>
    <row r="1" spans="1:7" s="24" customFormat="1" x14ac:dyDescent="0.35">
      <c r="A1" s="99" t="s">
        <v>0</v>
      </c>
      <c r="B1" s="99"/>
      <c r="C1" s="99"/>
      <c r="D1" s="99"/>
      <c r="E1" s="99"/>
      <c r="F1" s="99"/>
    </row>
    <row r="2" spans="1:7" s="24" customFormat="1" x14ac:dyDescent="0.35">
      <c r="A2" s="99" t="str">
        <f>'Grille de délibération'!A2:AX2</f>
        <v>SECTION SCIENCE TECHNIQU DOCUMENTAIRE</v>
      </c>
      <c r="B2" s="99"/>
      <c r="C2" s="99"/>
      <c r="D2" s="99"/>
      <c r="E2" s="99"/>
      <c r="F2" s="99"/>
    </row>
    <row r="3" spans="1:7" s="24" customFormat="1" x14ac:dyDescent="0.35">
      <c r="A3" s="99" t="str">
        <f>'Grille de délibération'!A3:AX3</f>
        <v>PROMOTION: TROISIEME LICENCE LMD STD</v>
      </c>
      <c r="B3" s="99"/>
      <c r="C3" s="99"/>
      <c r="D3" s="99"/>
      <c r="E3" s="99"/>
      <c r="F3" s="99"/>
    </row>
    <row r="4" spans="1:7" s="24" customFormat="1" x14ac:dyDescent="0.35">
      <c r="A4" s="99" t="s">
        <v>127</v>
      </c>
      <c r="B4" s="99"/>
      <c r="C4" s="99"/>
      <c r="D4" s="99"/>
      <c r="E4" s="99"/>
      <c r="F4" s="99"/>
    </row>
    <row r="5" spans="1:7" s="24" customFormat="1" x14ac:dyDescent="0.35">
      <c r="A5" s="9"/>
      <c r="B5" s="63" t="s">
        <v>27</v>
      </c>
      <c r="C5" t="str">
        <f>Relevé_S5!C5</f>
        <v>M0001</v>
      </c>
      <c r="D5" s="9"/>
      <c r="E5" s="9"/>
      <c r="F5" s="9"/>
    </row>
    <row r="6" spans="1:7" s="24" customFormat="1" x14ac:dyDescent="0.35">
      <c r="B6" s="35" t="s">
        <v>28</v>
      </c>
      <c r="C6" s="24">
        <f>VLOOKUP(C5,'Grille de délibération'!$B$9:$AX$535,2,0)</f>
        <v>0</v>
      </c>
    </row>
    <row r="7" spans="1:7" s="24" customFormat="1" x14ac:dyDescent="0.35">
      <c r="B7" s="35" t="s">
        <v>29</v>
      </c>
      <c r="C7" s="24" t="str">
        <f>VLOOKUP(C5,'Grille de délibération'!$B$9:$AX$535,3,0)</f>
        <v>AYINO</v>
      </c>
    </row>
    <row r="8" spans="1:7" s="24" customFormat="1" x14ac:dyDescent="0.35">
      <c r="B8" s="35" t="s">
        <v>30</v>
      </c>
      <c r="C8" s="24" t="str">
        <f>VLOOKUP(C5,'Grille de délibération'!$B$9:$AX$535,4,0)</f>
        <v>NGALASI</v>
      </c>
    </row>
    <row r="9" spans="1:7" s="24" customFormat="1" x14ac:dyDescent="0.35">
      <c r="B9" s="35" t="s">
        <v>31</v>
      </c>
      <c r="C9" s="24">
        <f>VLOOKUP(C5,'Grille de délibération'!$B$9:$AX$535,5,0)</f>
        <v>0</v>
      </c>
    </row>
    <row r="10" spans="1:7" s="24" customFormat="1" x14ac:dyDescent="0.35"/>
    <row r="11" spans="1:7" s="24" customFormat="1" x14ac:dyDescent="0.35">
      <c r="A11" s="114" t="s">
        <v>125</v>
      </c>
      <c r="B11" s="114"/>
      <c r="C11" s="114"/>
      <c r="D11" s="114"/>
      <c r="E11" s="114"/>
      <c r="F11" s="114"/>
      <c r="G11" s="114"/>
    </row>
    <row r="12" spans="1:7" s="24" customFormat="1" x14ac:dyDescent="0.35">
      <c r="A12" s="4" t="s">
        <v>11</v>
      </c>
      <c r="B12" s="4" t="s">
        <v>7</v>
      </c>
      <c r="C12" s="4" t="s">
        <v>9</v>
      </c>
      <c r="D12" s="4" t="s">
        <v>5</v>
      </c>
      <c r="E12" s="4" t="s">
        <v>22</v>
      </c>
      <c r="F12" s="4" t="s">
        <v>8</v>
      </c>
      <c r="G12" s="4" t="s">
        <v>6</v>
      </c>
    </row>
    <row r="13" spans="1:7" s="24" customFormat="1" ht="15.5" x14ac:dyDescent="0.35">
      <c r="A13" s="4" t="str">
        <f>+Relevé_S5!A11</f>
        <v>AFP1351</v>
      </c>
      <c r="B13" s="15" t="str">
        <f>Relevé_S5!B11</f>
        <v xml:space="preserve">Atelier de Fabrication et de publication </v>
      </c>
      <c r="C13" s="29">
        <f>Relevé_S5!C11</f>
        <v>0</v>
      </c>
      <c r="D13" s="28">
        <f>Relevé_S5!D11</f>
        <v>5</v>
      </c>
      <c r="E13" s="28">
        <f>C13*D13</f>
        <v>0</v>
      </c>
      <c r="F13" s="36">
        <f>+Relevé_S5!E11</f>
        <v>12</v>
      </c>
      <c r="G13" s="4" t="str">
        <f>Relevé_S5!F11</f>
        <v>Non Validée</v>
      </c>
    </row>
    <row r="14" spans="1:7" s="24" customFormat="1" ht="15.5" x14ac:dyDescent="0.35">
      <c r="A14" s="4" t="str">
        <f>+Relevé_S5!A17</f>
        <v>ACD1351</v>
      </c>
      <c r="B14" s="15" t="str">
        <f>Relevé_S5!B17</f>
        <v xml:space="preserve">Atelier de Communication Documentaire </v>
      </c>
      <c r="C14" s="29">
        <f>Relevé_S5!C17</f>
        <v>5</v>
      </c>
      <c r="D14" s="28">
        <f>Relevé_S5!D17</f>
        <v>6</v>
      </c>
      <c r="E14" s="28">
        <f t="shared" ref="E14:E17" si="0">C14*D14</f>
        <v>30</v>
      </c>
      <c r="F14" s="36">
        <f>+Relevé_S5!E17</f>
        <v>9</v>
      </c>
      <c r="G14" s="4" t="str">
        <f>Relevé_S5!F17</f>
        <v>Non Validée</v>
      </c>
    </row>
    <row r="15" spans="1:7" s="24" customFormat="1" ht="15.5" x14ac:dyDescent="0.35">
      <c r="A15" s="4" t="str">
        <f>+Relevé_S5!A21</f>
        <v>MAD1231</v>
      </c>
      <c r="B15" s="15" t="str">
        <f>Relevé_S5!B21</f>
        <v>Statistiques appliquées</v>
      </c>
      <c r="C15" s="29">
        <f>Relevé_S5!C21</f>
        <v>2</v>
      </c>
      <c r="D15" s="28">
        <f>Relevé_S5!D21</f>
        <v>5</v>
      </c>
      <c r="E15" s="28">
        <f t="shared" si="0"/>
        <v>10</v>
      </c>
      <c r="F15" s="36">
        <f>+Relevé_S5!E21</f>
        <v>13</v>
      </c>
      <c r="G15" s="4" t="str">
        <f>Relevé_S5!F21</f>
        <v>Non Validée</v>
      </c>
    </row>
    <row r="16" spans="1:7" s="24" customFormat="1" ht="15.5" x14ac:dyDescent="0.35">
      <c r="A16" s="4" t="str">
        <f>+Relevé_S5!A26</f>
        <v>AGD1351</v>
      </c>
      <c r="B16" s="15" t="str">
        <f>Relevé_S5!B26</f>
        <v>Atelier d’organisation et Gestion des
Institutions</v>
      </c>
      <c r="C16" s="29">
        <f>Relevé_S5!C26</f>
        <v>1</v>
      </c>
      <c r="D16" s="28">
        <f>Relevé_S5!D26</f>
        <v>6</v>
      </c>
      <c r="E16" s="28">
        <f t="shared" ref="E16" si="1">C16*D16</f>
        <v>6</v>
      </c>
      <c r="F16" s="36">
        <f>+Relevé_S5!E26</f>
        <v>12</v>
      </c>
      <c r="G16" s="4" t="str">
        <f>Relevé_S5!F26</f>
        <v>Non Validée</v>
      </c>
    </row>
    <row r="17" spans="1:7" s="24" customFormat="1" ht="15.5" x14ac:dyDescent="0.35">
      <c r="A17" s="4" t="str">
        <f>+Relevé_S5!A33</f>
        <v>LSD1353</v>
      </c>
      <c r="B17" s="15" t="str">
        <f>Relevé_S5!B33</f>
        <v xml:space="preserve">Stage Professionnel </v>
      </c>
      <c r="C17" s="29">
        <f>Relevé_S5!C33</f>
        <v>4</v>
      </c>
      <c r="D17" s="28">
        <f>Relevé_S5!D33</f>
        <v>8</v>
      </c>
      <c r="E17" s="28">
        <f t="shared" si="0"/>
        <v>32</v>
      </c>
      <c r="F17" s="36">
        <f>+Relevé_S5!E33</f>
        <v>14</v>
      </c>
      <c r="G17" s="4" t="str">
        <f>Relevé_S5!F33</f>
        <v>Non Validée</v>
      </c>
    </row>
    <row r="18" spans="1:7" s="24" customFormat="1" ht="15.75" customHeight="1" x14ac:dyDescent="0.35">
      <c r="A18" s="4"/>
      <c r="B18" s="21" t="s">
        <v>17</v>
      </c>
      <c r="C18" s="36"/>
      <c r="D18" s="36">
        <v>30</v>
      </c>
      <c r="E18" s="28">
        <f>SUM(E13:E17)</f>
        <v>78</v>
      </c>
      <c r="F18" s="36">
        <f>SUM(F13:F17)</f>
        <v>60</v>
      </c>
      <c r="G18" s="4"/>
    </row>
    <row r="19" spans="1:7" s="24" customFormat="1" ht="15.5" x14ac:dyDescent="0.35">
      <c r="A19" s="4"/>
      <c r="B19" s="26" t="s">
        <v>21</v>
      </c>
      <c r="C19" s="29">
        <f>(C13*$D$13+C14*$D$14+C15*$D$15+C16*$D$16+C17*$D$17)/$D$18</f>
        <v>2.6</v>
      </c>
      <c r="D19" s="113" t="s">
        <v>18</v>
      </c>
      <c r="E19" s="113"/>
      <c r="F19" s="113"/>
      <c r="G19" s="5" t="str">
        <f>Relevé_S5!F37</f>
        <v>60/30</v>
      </c>
    </row>
    <row r="20" spans="1:7" s="24" customFormat="1" ht="15.5" x14ac:dyDescent="0.35">
      <c r="A20" s="37"/>
      <c r="B20" s="38"/>
      <c r="C20" s="27"/>
      <c r="D20" s="34"/>
      <c r="E20" s="34"/>
      <c r="F20" s="34"/>
      <c r="G20" s="25"/>
    </row>
    <row r="21" spans="1:7" s="24" customFormat="1" ht="15.75" customHeight="1" x14ac:dyDescent="0.35">
      <c r="A21" s="114" t="s">
        <v>126</v>
      </c>
      <c r="B21" s="114"/>
      <c r="C21" s="114"/>
      <c r="D21" s="114"/>
      <c r="E21" s="114"/>
      <c r="F21" s="114"/>
      <c r="G21" s="115"/>
    </row>
    <row r="22" spans="1:7" s="24" customFormat="1" ht="15.75" customHeight="1" x14ac:dyDescent="0.35">
      <c r="A22" s="4" t="s">
        <v>11</v>
      </c>
      <c r="B22" s="4" t="s">
        <v>7</v>
      </c>
      <c r="C22" s="4" t="s">
        <v>9</v>
      </c>
      <c r="D22" s="4" t="s">
        <v>5</v>
      </c>
      <c r="E22" s="4" t="s">
        <v>22</v>
      </c>
      <c r="F22" s="4" t="s">
        <v>8</v>
      </c>
      <c r="G22" s="4" t="s">
        <v>6</v>
      </c>
    </row>
    <row r="23" spans="1:7" s="24" customFormat="1" ht="15.5" x14ac:dyDescent="0.35">
      <c r="A23" s="19" t="str">
        <f>+Relevé_S6!A11</f>
        <v>PLS1354</v>
      </c>
      <c r="B23" s="39" t="str">
        <f>Relevé_S6!B11</f>
        <v xml:space="preserve">Projet tutoré </v>
      </c>
      <c r="C23" s="28">
        <f>Relevé_S6!C11</f>
        <v>0</v>
      </c>
      <c r="D23" s="28">
        <f>Relevé_S6!D11</f>
        <v>30</v>
      </c>
      <c r="E23" s="28">
        <f t="shared" ref="E23" si="2">C23*D23</f>
        <v>0</v>
      </c>
      <c r="F23" s="28">
        <f>Relevé_S6!E11</f>
        <v>8</v>
      </c>
      <c r="G23" s="36" t="str">
        <f>Relevé_S6!F11</f>
        <v>Non Validée</v>
      </c>
    </row>
    <row r="24" spans="1:7" s="24" customFormat="1" ht="15.5" x14ac:dyDescent="0.35">
      <c r="A24" s="4"/>
      <c r="B24" s="21" t="s">
        <v>17</v>
      </c>
      <c r="C24" s="36"/>
      <c r="D24" s="36">
        <v>30</v>
      </c>
      <c r="E24" s="28">
        <f>SUM(E23:E23)</f>
        <v>0</v>
      </c>
      <c r="F24" s="36">
        <f>SUM(F23:F23)</f>
        <v>8</v>
      </c>
      <c r="G24" s="4"/>
    </row>
    <row r="25" spans="1:7" s="24" customFormat="1" ht="15.75" customHeight="1" x14ac:dyDescent="0.35">
      <c r="A25" s="4"/>
      <c r="B25" s="26" t="s">
        <v>21</v>
      </c>
      <c r="C25" s="29">
        <f>(C23*$D$23)/$D$24</f>
        <v>0</v>
      </c>
      <c r="D25" s="113" t="s">
        <v>18</v>
      </c>
      <c r="E25" s="113"/>
      <c r="F25" s="113"/>
      <c r="G25" s="5" t="str">
        <f>Relevé_S6!F15</f>
        <v>8/30</v>
      </c>
    </row>
    <row r="26" spans="1:7" s="24" customFormat="1" ht="15.75" customHeight="1" x14ac:dyDescent="0.35">
      <c r="A26" s="22"/>
      <c r="B26" s="40"/>
      <c r="C26" s="41"/>
      <c r="D26" s="34"/>
      <c r="E26" s="34"/>
      <c r="F26" s="34"/>
      <c r="G26" s="25"/>
    </row>
    <row r="27" spans="1:7" s="24" customFormat="1" ht="15.75" customHeight="1" x14ac:dyDescent="0.35">
      <c r="A27" s="22"/>
      <c r="B27" s="40" t="s">
        <v>23</v>
      </c>
      <c r="C27" s="41"/>
      <c r="D27" s="34"/>
      <c r="E27" s="34"/>
      <c r="F27" s="34"/>
      <c r="G27" s="25"/>
    </row>
    <row r="28" spans="1:7" s="24" customFormat="1" ht="15.75" customHeight="1" x14ac:dyDescent="0.35">
      <c r="A28" s="22"/>
      <c r="B28" s="40" t="s">
        <v>24</v>
      </c>
      <c r="C28" s="41">
        <f>(C19*D18+C25*D24)/C29</f>
        <v>1.3</v>
      </c>
      <c r="D28" s="34"/>
      <c r="E28" s="34"/>
      <c r="F28" s="34"/>
      <c r="G28" s="25"/>
    </row>
    <row r="29" spans="1:7" s="24" customFormat="1" ht="15.75" customHeight="1" x14ac:dyDescent="0.35">
      <c r="A29" s="22"/>
      <c r="B29" s="40" t="s">
        <v>5</v>
      </c>
      <c r="C29" s="42">
        <f>D24+D18</f>
        <v>60</v>
      </c>
      <c r="D29" s="34"/>
      <c r="E29" s="34"/>
      <c r="F29" s="34"/>
      <c r="G29" s="25"/>
    </row>
    <row r="30" spans="1:7" s="24" customFormat="1" ht="15.75" customHeight="1" x14ac:dyDescent="0.35">
      <c r="A30" s="22"/>
      <c r="B30" s="40" t="s">
        <v>8</v>
      </c>
      <c r="C30" s="42">
        <f>F18+F24</f>
        <v>68</v>
      </c>
      <c r="D30" s="34"/>
      <c r="E30" s="34"/>
      <c r="F30" s="34"/>
      <c r="G30" s="25"/>
    </row>
    <row r="31" spans="1:7" s="24" customFormat="1" ht="15.75" customHeight="1" x14ac:dyDescent="0.35">
      <c r="A31" s="22"/>
      <c r="B31" s="40"/>
      <c r="C31" s="41"/>
      <c r="D31" s="34"/>
      <c r="E31" s="34"/>
      <c r="F31" s="34"/>
      <c r="G31" s="25"/>
    </row>
    <row r="32" spans="1:7" s="24" customFormat="1" ht="15.75" customHeight="1" x14ac:dyDescent="0.35">
      <c r="A32" s="85"/>
      <c r="B32" s="86"/>
      <c r="C32" s="86"/>
      <c r="D32" s="86"/>
      <c r="E32" s="86"/>
      <c r="F32" s="86"/>
      <c r="G32" s="87"/>
    </row>
    <row r="33" spans="1:7" s="24" customFormat="1" ht="15.75" customHeight="1" x14ac:dyDescent="0.35">
      <c r="A33" s="85" t="str">
        <f>CONCATENATE("Décision du Jury : ",IF(AND(OR(G23="Non validée",G14="Non validée",G15="Non validée",G16="Non validée",G13="Non validée",G17="Non validée"),C28&gt;=10),"Admis à la session de rattrapage",IF(BK9="Non Validé","Rattrapage",IF(C28&gt;=18,"Excellent",IF(AND(C28&gt;=16,C28&lt;18),"Très Bien",IF(AND(C28&gt;=14,C28&lt;16),"Bien",IF(AND(C28&gt;=12,C28&lt;14),"Assez Bien",IF(AND(C28&gt;=10,C28&lt;12),"Passable",IF(AND(C28&gt;=8,C28&lt;10),"Insufisant","Insatisfaisant")))))))))</f>
        <v>Décision du Jury : Insatisfaisant</v>
      </c>
      <c r="B33" s="86"/>
      <c r="C33" s="86"/>
      <c r="D33" s="86"/>
      <c r="E33" s="86"/>
      <c r="F33" s="86"/>
      <c r="G33" s="87"/>
    </row>
    <row r="34" spans="1:7" s="24" customFormat="1" ht="15.75" customHeight="1" x14ac:dyDescent="0.35">
      <c r="A34" s="43"/>
      <c r="B34" s="44"/>
      <c r="C34" s="44"/>
      <c r="D34" s="44"/>
      <c r="E34" s="44"/>
      <c r="F34" s="44"/>
      <c r="G34" s="45"/>
    </row>
    <row r="35" spans="1:7" s="24" customFormat="1" ht="15.75" customHeight="1" x14ac:dyDescent="0.35">
      <c r="A35" s="43"/>
      <c r="B35" s="44"/>
      <c r="C35" s="44"/>
      <c r="D35" s="44"/>
      <c r="E35" s="44"/>
      <c r="F35" s="44"/>
      <c r="G35" s="45"/>
    </row>
    <row r="36" spans="1:7" s="24" customFormat="1" ht="15.75" customHeight="1" x14ac:dyDescent="0.35">
      <c r="B36" s="81" t="s">
        <v>19</v>
      </c>
      <c r="C36" s="81"/>
      <c r="D36" s="46">
        <f ca="1">TODAY()</f>
        <v>45886</v>
      </c>
      <c r="E36" s="47"/>
      <c r="F36" s="47"/>
      <c r="G36" s="25"/>
    </row>
    <row r="37" spans="1:7" s="8" customFormat="1" ht="15.75" customHeight="1" x14ac:dyDescent="0.35">
      <c r="A37" s="10"/>
      <c r="B37" s="11"/>
      <c r="C37" s="11"/>
      <c r="D37" s="11"/>
      <c r="E37" s="11"/>
      <c r="F37" s="11"/>
      <c r="G37" s="30"/>
    </row>
    <row r="38" spans="1:7" s="8" customFormat="1" ht="15.75" customHeight="1" x14ac:dyDescent="0.35">
      <c r="A38" s="91" t="s">
        <v>20</v>
      </c>
      <c r="B38" s="92"/>
      <c r="C38" s="92" t="s">
        <v>34</v>
      </c>
      <c r="D38" s="92"/>
      <c r="E38" s="92"/>
      <c r="F38" s="92"/>
      <c r="G38" s="30"/>
    </row>
    <row r="39" spans="1:7" s="8" customFormat="1" ht="15.75" customHeight="1" x14ac:dyDescent="0.35">
      <c r="A39" s="10"/>
      <c r="B39" s="11" t="s">
        <v>32</v>
      </c>
      <c r="C39" s="11"/>
      <c r="E39" s="11" t="s">
        <v>33</v>
      </c>
      <c r="F39" s="11"/>
      <c r="G39" s="30"/>
    </row>
    <row r="40" spans="1:7" s="8" customFormat="1" ht="15.75" customHeight="1" x14ac:dyDescent="0.35">
      <c r="A40" s="31"/>
      <c r="B40" s="32"/>
      <c r="C40" s="32"/>
      <c r="D40" s="32"/>
      <c r="E40" s="32"/>
      <c r="F40" s="32"/>
      <c r="G40" s="33"/>
    </row>
  </sheetData>
  <sheetProtection algorithmName="SHA-512" hashValue="y9kdvPNfrmpo7pyKOLubPUWc65inBSeiaSG+EL6KXx12XsLwVaK9BOehPHir/hSgV10jTs0+5Eeg1ONI/Pm3tw==" saltValue="WugWoV7Kp6fKSQZrtESACQ==" spinCount="100000" sheet="1" formatColumns="0" formatRows="0" insertColumns="0" insertRows="0" deleteColumns="0" deleteRows="0"/>
  <mergeCells count="13">
    <mergeCell ref="A38:B38"/>
    <mergeCell ref="D25:F25"/>
    <mergeCell ref="C38:F38"/>
    <mergeCell ref="A11:G11"/>
    <mergeCell ref="A21:G21"/>
    <mergeCell ref="D19:F19"/>
    <mergeCell ref="A32:G32"/>
    <mergeCell ref="A1:F1"/>
    <mergeCell ref="A2:F2"/>
    <mergeCell ref="A3:F3"/>
    <mergeCell ref="A4:F4"/>
    <mergeCell ref="B36:C36"/>
    <mergeCell ref="A33:G33"/>
  </mergeCell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Grille de délibération</vt:lpstr>
      <vt:lpstr>Relevé_S5</vt:lpstr>
      <vt:lpstr>Relevé_S6</vt:lpstr>
      <vt:lpstr>Relevé_AN </vt:lpstr>
      <vt:lpstr>'Grille de délibération'!Impression_des_titres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 MAKALA</dc:creator>
  <cp:lastModifiedBy>Ir Arnold</cp:lastModifiedBy>
  <cp:lastPrinted>2024-09-22T13:23:39Z</cp:lastPrinted>
  <dcterms:created xsi:type="dcterms:W3CDTF">2022-12-03T12:23:18Z</dcterms:created>
  <dcterms:modified xsi:type="dcterms:W3CDTF">2025-08-24T05:19:56Z</dcterms:modified>
</cp:coreProperties>
</file>